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CM\"/>
    </mc:Choice>
  </mc:AlternateContent>
  <bookViews>
    <workbookView xWindow="360" yWindow="108" windowWidth="14352" windowHeight="6720"/>
  </bookViews>
  <sheets>
    <sheet name="System" sheetId="1" r:id="rId1"/>
    <sheet name="RBD-Sikkerhetssystem" sheetId="2" r:id="rId2"/>
    <sheet name="FTA-Sikkerhetssystem" sheetId="3" r:id="rId3"/>
    <sheet name="FTA-Sikkerhetssyst. og regsyst." sheetId="4" r:id="rId4"/>
    <sheet name="ETA" sheetId="5" r:id="rId5"/>
  </sheets>
  <definedNames>
    <definedName name="Cost_per_hour">'FTA-Sikkerhetssystem'!$P$8</definedName>
    <definedName name="Freq_TOP">'FTA-Sikkerhetssyst. og regsyst.'!$M$23</definedName>
    <definedName name="lambda_CPU_R">'FTA-Sikkerhetssyst. og regsyst.'!$J$3</definedName>
    <definedName name="lambda_LCV">'FTA-Sikkerhetssyst. og regsyst.'!$J$4</definedName>
    <definedName name="lambda_LT_R">'FTA-Sikkerhetssyst. og regsyst.'!$J$5</definedName>
    <definedName name="p_CPU_S">'RBD-Sikkerhetssystem'!$M$3</definedName>
    <definedName name="p_LT_S">'RBD-Sikkerhetssystem'!$M$6</definedName>
    <definedName name="p_PSDV">'RBD-Sikkerhetssystem'!$M$4</definedName>
    <definedName name="p_PT">'RBD-Sikkerhetssystem'!$M$5</definedName>
    <definedName name="P_S">'RBD-Sikkerhetssystem'!$B$18</definedName>
    <definedName name="q_CPU_S">'FTA-Sikkerhetssystem'!$J$2</definedName>
    <definedName name="q_LT_S">'FTA-Sikkerhetssystem'!$J$5</definedName>
    <definedName name="q_PSDV">'FTA-Sikkerhetssystem'!$J$3</definedName>
    <definedName name="q_PSV">ETA!$L$3</definedName>
    <definedName name="q_PT">'FTA-Sikkerhetssystem'!$J$4</definedName>
    <definedName name="q_RD">ETA!$L$4</definedName>
    <definedName name="solver_adj" localSheetId="2" hidden="1">'FTA-Sikkerhetssystem'!$I$2:$I$5</definedName>
    <definedName name="solver_cvg" localSheetId="2" hidden="1">0.0001</definedName>
    <definedName name="solver_drv" localSheetId="2" hidden="1">1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'FTA-Sikkerhetssystem'!$P$8</definedName>
    <definedName name="solver_pre" localSheetId="2" hidden="1">0.000001</definedName>
    <definedName name="solver_rbv" localSheetId="2" hidden="1">1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2</definedName>
    <definedName name="solver_val" localSheetId="2" hidden="1">0</definedName>
    <definedName name="solver_ver" localSheetId="2" hidden="1">3</definedName>
    <definedName name="TotalCost">ETA!$N$11</definedName>
    <definedName name="totcost">'FTA-Sikkerhetssystem'!$P$19</definedName>
  </definedNames>
  <calcPr calcId="162913"/>
</workbook>
</file>

<file path=xl/calcChain.xml><?xml version="1.0" encoding="utf-8"?>
<calcChain xmlns="http://schemas.openxmlformats.org/spreadsheetml/2006/main">
  <c r="O10" i="3" l="1"/>
  <c r="O11" i="3" s="1"/>
  <c r="O12" i="3" s="1"/>
  <c r="O13" i="3" s="1"/>
  <c r="O14" i="3" s="1"/>
  <c r="O15" i="3" s="1"/>
  <c r="O16" i="3" s="1"/>
  <c r="O17" i="3" s="1"/>
  <c r="O18" i="3" s="1"/>
  <c r="C19" i="2"/>
  <c r="C20" i="2"/>
  <c r="C18" i="2"/>
  <c r="N20" i="4"/>
  <c r="N21" i="4"/>
  <c r="N19" i="4"/>
  <c r="N12" i="4"/>
  <c r="N16" i="4"/>
  <c r="N13" i="4"/>
  <c r="N14" i="4"/>
  <c r="N15" i="4"/>
  <c r="N11" i="4"/>
  <c r="O9" i="5"/>
  <c r="O10" i="5"/>
  <c r="O11" i="5"/>
  <c r="O12" i="5"/>
  <c r="O8" i="5"/>
  <c r="C26" i="1" l="1"/>
  <c r="C25" i="1"/>
  <c r="C24" i="1"/>
  <c r="C23" i="1"/>
  <c r="P3" i="3" l="1"/>
  <c r="P4" i="3"/>
  <c r="P5" i="3"/>
  <c r="P2" i="3"/>
  <c r="L4" i="2"/>
  <c r="M4" i="2" s="1"/>
  <c r="L5" i="2"/>
  <c r="M5" i="2" s="1"/>
  <c r="L6" i="2"/>
  <c r="M6" i="2" s="1"/>
  <c r="J3" i="3"/>
  <c r="M16" i="4" s="1"/>
  <c r="J4" i="3"/>
  <c r="J5" i="3"/>
  <c r="J2" i="3"/>
  <c r="M15" i="4" s="1"/>
  <c r="L3" i="2"/>
  <c r="M3" i="2" s="1"/>
  <c r="H5" i="3"/>
  <c r="H4" i="3"/>
  <c r="H3" i="3"/>
  <c r="H2" i="3"/>
  <c r="J4" i="2"/>
  <c r="J5" i="2"/>
  <c r="J6" i="2"/>
  <c r="J3" i="2"/>
  <c r="M21" i="4" l="1"/>
  <c r="P6" i="3"/>
  <c r="M13" i="4"/>
  <c r="M19" i="4"/>
  <c r="M20" i="4"/>
  <c r="M12" i="4"/>
  <c r="J15" i="3"/>
  <c r="B18" i="2"/>
  <c r="J12" i="3"/>
  <c r="M14" i="4"/>
  <c r="J11" i="3"/>
  <c r="M11" i="4"/>
  <c r="J19" i="3" l="1"/>
  <c r="B20" i="2"/>
  <c r="B19" i="2"/>
  <c r="M23" i="4"/>
  <c r="N23" i="4" s="1"/>
  <c r="J17" i="3"/>
  <c r="K17" i="3" s="1"/>
  <c r="K10" i="5" l="1"/>
  <c r="K8" i="5"/>
  <c r="K9" i="5"/>
  <c r="J18" i="3"/>
  <c r="N9" i="5" l="1"/>
  <c r="L9" i="5"/>
  <c r="N8" i="5"/>
  <c r="L8" i="5"/>
  <c r="N10" i="5"/>
  <c r="L10" i="5"/>
  <c r="N11" i="5"/>
  <c r="P7" i="3" s="1"/>
  <c r="K11" i="5"/>
  <c r="K12" i="5" l="1"/>
  <c r="L11" i="5"/>
  <c r="P8" i="3"/>
  <c r="N12" i="5"/>
</calcChain>
</file>

<file path=xl/comments1.xml><?xml version="1.0" encoding="utf-8"?>
<comments xmlns="http://schemas.openxmlformats.org/spreadsheetml/2006/main">
  <authors>
    <author>Jørn Vatn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Kostnader per FV-aktivitet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<sst xmlns="http://schemas.openxmlformats.org/spreadsheetml/2006/main" count="128" uniqueCount="93">
  <si>
    <t>Comp</t>
  </si>
  <si>
    <t>MTTF</t>
  </si>
  <si>
    <t>CPU-S</t>
  </si>
  <si>
    <t>PSDV</t>
  </si>
  <si>
    <t>PT</t>
  </si>
  <si>
    <t>LT-S</t>
  </si>
  <si>
    <t>Strukturfunksjon</t>
  </si>
  <si>
    <r>
      <t>f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) =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Calibri"/>
        <family val="2"/>
        <scheme val="minor"/>
      </rPr>
      <t>(1-(1-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) (1-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)) =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 xml:space="preserve">PT </t>
    </r>
    <r>
      <rPr>
        <sz val="11"/>
        <color theme="1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x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CPU-S</t>
    </r>
    <r>
      <rPr>
        <i/>
        <sz val="11"/>
        <color theme="1"/>
        <rFont val="Calibri"/>
        <family val="2"/>
        <scheme val="minor"/>
      </rPr>
      <t xml:space="preserve"> x</t>
    </r>
    <r>
      <rPr>
        <vertAlign val="subscript"/>
        <sz val="11"/>
        <color theme="1"/>
        <rFont val="Calibri"/>
        <family val="2"/>
        <scheme val="minor"/>
      </rPr>
      <t>PT</t>
    </r>
  </si>
  <si>
    <t>Systempålitelighet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</si>
  <si>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 = h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)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Calibri"/>
        <family val="2"/>
        <scheme val="minor"/>
      </rPr>
      <t>(1-(1-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) (1-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)) =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 xml:space="preserve">PT </t>
    </r>
    <r>
      <rPr>
        <sz val="11"/>
        <color theme="1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LT-S</t>
    </r>
    <r>
      <rPr>
        <sz val="11"/>
        <color theme="1"/>
        <rFont val="Calibri"/>
        <family val="2"/>
        <scheme val="minor"/>
      </rPr>
      <t xml:space="preserve"> - 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PSDV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>p</t>
    </r>
    <r>
      <rPr>
        <vertAlign val="subscript"/>
        <sz val="11"/>
        <color theme="1"/>
        <rFont val="Calibri"/>
        <family val="2"/>
        <scheme val="minor"/>
      </rPr>
      <t>CPU-S</t>
    </r>
    <r>
      <rPr>
        <sz val="11"/>
        <color theme="1"/>
        <rFont val="Symbol"/>
        <family val="1"/>
        <charset val="2"/>
      </rPr>
      <t>×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CPU-S</t>
    </r>
    <r>
      <rPr>
        <i/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PT</t>
    </r>
  </si>
  <si>
    <t>Cut set(s) with 1 component (Total: 2)</t>
  </si>
  <si>
    <t xml:space="preserve">   {CPU-S} </t>
  </si>
  <si>
    <t xml:space="preserve">   {PSDV} </t>
  </si>
  <si>
    <t xml:space="preserve"> </t>
  </si>
  <si>
    <t>Cut set(s) with 2 components (Total: 1)</t>
  </si>
  <si>
    <t xml:space="preserve">   {PT,LT-S} </t>
  </si>
  <si>
    <t>Q-bidrag</t>
  </si>
  <si>
    <t>Formel</t>
  </si>
  <si>
    <t>=q_CPU_S</t>
  </si>
  <si>
    <t>=q_PSDV</t>
  </si>
  <si>
    <t>=q_PT*q_LT_S</t>
  </si>
  <si>
    <t>Total</t>
  </si>
  <si>
    <r>
      <rPr>
        <i/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</si>
  <si>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1-</t>
    </r>
    <r>
      <rPr>
        <i/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</si>
  <si>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</si>
  <si>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t>timer/år</t>
  </si>
  <si>
    <t>LCV</t>
  </si>
  <si>
    <t>CPU-R</t>
  </si>
  <si>
    <t>LT-R</t>
  </si>
  <si>
    <t>Cut set(s) with 2 components (Total: 6)</t>
  </si>
  <si>
    <t xml:space="preserve">   {LCV,CPU-S} </t>
  </si>
  <si>
    <t xml:space="preserve">   {LCV,PSDV} </t>
  </si>
  <si>
    <t xml:space="preserve">   {CPU-R,CPU-S} </t>
  </si>
  <si>
    <t xml:space="preserve">   {CPU-R,PSDV} </t>
  </si>
  <si>
    <t xml:space="preserve">   {LT-R,CPU-S} </t>
  </si>
  <si>
    <t xml:space="preserve">   {LT-R,PSDV} </t>
  </si>
  <si>
    <t>Cut set(s) with 3 components (Total: 3)</t>
  </si>
  <si>
    <t xml:space="preserve">   {LCV,PT,LT-S} </t>
  </si>
  <si>
    <t xml:space="preserve">   {CPU-R,PT,LT-S} </t>
  </si>
  <si>
    <t xml:space="preserve">   {LT-R,PT,LT-S} </t>
  </si>
  <si>
    <t>F-bidrag</t>
  </si>
  <si>
    <t>Frekvensberegninger:</t>
  </si>
  <si>
    <r>
      <rPr>
        <i/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=</t>
    </r>
  </si>
  <si>
    <t>#/år</t>
  </si>
  <si>
    <t>t</t>
  </si>
  <si>
    <t>l</t>
  </si>
  <si>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=</t>
    </r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=</t>
    </r>
    <r>
      <rPr>
        <i/>
        <sz val="11"/>
        <color theme="1"/>
        <rFont val="Symbol"/>
        <family val="1"/>
        <charset val="2"/>
      </rPr>
      <t>lt</t>
    </r>
    <r>
      <rPr>
        <sz val="11"/>
        <color theme="1"/>
        <rFont val="Calibri"/>
        <family val="2"/>
        <scheme val="minor"/>
      </rPr>
      <t>/2</t>
    </r>
  </si>
  <si>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=1-</t>
    </r>
    <r>
      <rPr>
        <i/>
        <sz val="11"/>
        <color theme="1"/>
        <rFont val="Symbol"/>
        <family val="1"/>
        <charset val="2"/>
      </rPr>
      <t>lt</t>
    </r>
    <r>
      <rPr>
        <sz val="11"/>
        <color theme="1"/>
        <rFont val="Calibri"/>
        <family val="2"/>
        <scheme val="minor"/>
      </rPr>
      <t>/2</t>
    </r>
  </si>
  <si>
    <r>
      <rPr>
        <i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/>
    </r>
  </si>
  <si>
    <t>PSV</t>
  </si>
  <si>
    <t>RD</t>
  </si>
  <si>
    <t>Slutthendelse</t>
  </si>
  <si>
    <t>Frekvens</t>
  </si>
  <si>
    <t>Kr/time</t>
  </si>
  <si>
    <t>Formel frekvens</t>
  </si>
  <si>
    <t>Stor smell</t>
  </si>
  <si>
    <t>Liten smell</t>
  </si>
  <si>
    <t>Gass til fakkel</t>
  </si>
  <si>
    <t>FV/time</t>
  </si>
  <si>
    <t>Tot FV/time</t>
  </si>
  <si>
    <t>Risiko/time</t>
  </si>
  <si>
    <t>Total/time</t>
  </si>
  <si>
    <t>FV_Kost</t>
  </si>
  <si>
    <t>Total/år</t>
  </si>
  <si>
    <t>CPU = Datamaskin</t>
  </si>
  <si>
    <t>PT = Pressure Transmitter, trykktransmitter</t>
  </si>
  <si>
    <t>LT = Level Transmitter, nivåtransmitter</t>
  </si>
  <si>
    <t>PSV = Løfteventil</t>
  </si>
  <si>
    <t>RD = Rupture Disk, sprengblekk</t>
  </si>
  <si>
    <t>LCV = Level Control Valve, nivåreguleringsventil</t>
  </si>
  <si>
    <t>PSDV = Process shutdown valve, nedstengingsventil</t>
  </si>
  <si>
    <t>S = Sikkerhet</t>
  </si>
  <si>
    <t>R = Regulering</t>
  </si>
  <si>
    <t>Forkortelser:</t>
  </si>
  <si>
    <t>Sort: Ordinær regulering</t>
  </si>
  <si>
    <t>Rød: Krise, etter uønsket sikkerhetshendelse</t>
  </si>
  <si>
    <t>Blå: Sikkerhet (SIS = Safety instrumented system)</t>
  </si>
  <si>
    <t>q</t>
  </si>
  <si>
    <t>Data</t>
  </si>
  <si>
    <t>(Fra RBD-analysen, dvs godt samsvar)</t>
  </si>
  <si>
    <t>Kroneverdi</t>
  </si>
  <si>
    <t>Frekvens/år</t>
  </si>
  <si>
    <t>Tallverdi</t>
  </si>
  <si>
    <t>Størrelse</t>
  </si>
  <si>
    <r>
      <t>P</t>
    </r>
    <r>
      <rPr>
        <i/>
        <vertAlign val="subscript"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 xml:space="preserve"> = h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) </t>
    </r>
  </si>
  <si>
    <t>Oppetimer/år</t>
  </si>
  <si>
    <t>Nedetimer/år</t>
  </si>
  <si>
    <t>Beregninger:</t>
  </si>
  <si>
    <t>Kommentar</t>
  </si>
  <si>
    <t>Ingen beregning, kun  direkte vurdering</t>
  </si>
  <si>
    <t xml:space="preserve"> -- " --</t>
  </si>
  <si>
    <t>Ingen testintervall eller nedetid, det som betyr noe er frekvens av svikt</t>
  </si>
  <si>
    <r>
      <t>Skjult funksjon, må angi testintervall,</t>
    </r>
    <r>
      <rPr>
        <sz val="11"/>
        <color theme="1"/>
        <rFont val="Symbol"/>
        <family val="1"/>
        <charset val="2"/>
      </rPr>
      <t xml:space="preserve"> </t>
    </r>
    <r>
      <rPr>
        <i/>
        <sz val="11"/>
        <color theme="1"/>
        <rFont val="Symbol"/>
        <family val="1"/>
        <charset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</si>
</sst>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vertAlign val="subscript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" fontId="0" fillId="0" borderId="0" xfId="0" applyNumberFormat="1"/>
    <xf numFmtId="2" fontId="0" fillId="0" borderId="0" xfId="0" applyNumberFormat="1"/>
    <xf numFmtId="0" fontId="3" fillId="2" borderId="1" xfId="0" applyFont="1" applyFill="1" applyBorder="1"/>
    <xf numFmtId="3" fontId="0" fillId="0" borderId="0" xfId="0" applyNumberFormat="1"/>
    <xf numFmtId="0" fontId="0" fillId="3" borderId="0" xfId="0" applyFill="1"/>
    <xf numFmtId="0" fontId="1" fillId="3" borderId="0" xfId="0" applyFont="1" applyFill="1"/>
    <xf numFmtId="0" fontId="11" fillId="3" borderId="0" xfId="0" applyFont="1" applyFill="1"/>
    <xf numFmtId="0" fontId="10" fillId="3" borderId="0" xfId="0" applyFont="1" applyFill="1"/>
    <xf numFmtId="0" fontId="2" fillId="2" borderId="1" xfId="0" applyFont="1" applyFill="1" applyBorder="1"/>
    <xf numFmtId="0" fontId="0" fillId="4" borderId="1" xfId="0" applyFill="1" applyBorder="1"/>
    <xf numFmtId="11" fontId="0" fillId="0" borderId="0" xfId="0" applyNumberFormat="1"/>
    <xf numFmtId="0" fontId="0" fillId="4" borderId="0" xfId="0" applyFill="1"/>
    <xf numFmtId="0" fontId="0" fillId="4" borderId="0" xfId="0" quotePrefix="1" applyFill="1"/>
    <xf numFmtId="0" fontId="1" fillId="0" borderId="0" xfId="0" applyFont="1" applyAlignment="1">
      <alignment vertical="center"/>
    </xf>
    <xf numFmtId="0" fontId="12" fillId="0" borderId="0" xfId="0" applyFont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68580</xdr:rowOff>
        </xdr:from>
        <xdr:to>
          <xdr:col>8</xdr:col>
          <xdr:colOff>563880</xdr:colOff>
          <xdr:row>14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0</xdr:row>
          <xdr:rowOff>137160</xdr:rowOff>
        </xdr:from>
        <xdr:to>
          <xdr:col>5</xdr:col>
          <xdr:colOff>11137</xdr:colOff>
          <xdr:row>6</xdr:row>
          <xdr:rowOff>137160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99060</xdr:rowOff>
        </xdr:from>
        <xdr:to>
          <xdr:col>3</xdr:col>
          <xdr:colOff>228600</xdr:colOff>
          <xdr:row>18</xdr:row>
          <xdr:rowOff>22860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137160</xdr:rowOff>
        </xdr:from>
        <xdr:to>
          <xdr:col>7</xdr:col>
          <xdr:colOff>182880</xdr:colOff>
          <xdr:row>23</xdr:row>
          <xdr:rowOff>106680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106680</xdr:rowOff>
        </xdr:from>
        <xdr:to>
          <xdr:col>8</xdr:col>
          <xdr:colOff>121920</xdr:colOff>
          <xdr:row>10</xdr:row>
          <xdr:rowOff>106680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-tegning.vsd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Visio_2003-2010-tegning1.vsd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3.emf"/><Relationship Id="rId4" Type="http://schemas.openxmlformats.org/officeDocument/2006/relationships/oleObject" Target="../embeddings/Microsoft_Visio_2003-2010-tegning2.vsd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Visio_2003-2010-tegning3.vsd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Visio_2003-2010-tegning4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K22" sqref="K22"/>
    </sheetView>
  </sheetViews>
  <sheetFormatPr defaultRowHeight="14.4" x14ac:dyDescent="0.3"/>
  <cols>
    <col min="6" max="6" width="8.88671875" customWidth="1"/>
  </cols>
  <sheetData>
    <row r="1" spans="1:14" x14ac:dyDescent="0.3">
      <c r="A1" s="13"/>
      <c r="B1" s="13"/>
      <c r="C1" s="13"/>
      <c r="D1" s="13"/>
      <c r="E1" s="13"/>
      <c r="F1" s="13"/>
      <c r="G1" s="13"/>
      <c r="H1" s="13"/>
      <c r="I1" s="13"/>
      <c r="J1" s="14" t="s">
        <v>73</v>
      </c>
      <c r="K1" s="13"/>
      <c r="L1" s="13"/>
      <c r="M1" s="13"/>
      <c r="N1" s="13"/>
    </row>
    <row r="2" spans="1:14" x14ac:dyDescent="0.3">
      <c r="A2" s="13"/>
      <c r="B2" s="13"/>
      <c r="C2" s="13"/>
      <c r="D2" s="13"/>
      <c r="E2" s="13"/>
      <c r="F2" s="13"/>
      <c r="G2" s="13"/>
      <c r="H2" s="13"/>
      <c r="I2" s="13"/>
      <c r="J2" s="13" t="s">
        <v>64</v>
      </c>
      <c r="K2" s="13"/>
      <c r="L2" s="13"/>
      <c r="M2" s="13"/>
      <c r="N2" s="13"/>
    </row>
    <row r="3" spans="1:14" x14ac:dyDescent="0.3">
      <c r="A3" s="13"/>
      <c r="B3" s="13"/>
      <c r="C3" s="13"/>
      <c r="D3" s="13"/>
      <c r="E3" s="13"/>
      <c r="F3" s="13"/>
      <c r="G3" s="13"/>
      <c r="H3" s="13"/>
      <c r="I3" s="13"/>
      <c r="J3" s="13" t="s">
        <v>65</v>
      </c>
      <c r="K3" s="13"/>
      <c r="L3" s="13"/>
      <c r="M3" s="13"/>
      <c r="N3" s="13"/>
    </row>
    <row r="4" spans="1:14" x14ac:dyDescent="0.3">
      <c r="A4" s="13"/>
      <c r="B4" s="13"/>
      <c r="C4" s="13"/>
      <c r="D4" s="13"/>
      <c r="E4" s="13"/>
      <c r="F4" s="13"/>
      <c r="G4" s="13"/>
      <c r="H4" s="13"/>
      <c r="I4" s="13"/>
      <c r="J4" s="13" t="s">
        <v>66</v>
      </c>
      <c r="K4" s="13"/>
      <c r="L4" s="13"/>
      <c r="M4" s="13"/>
      <c r="N4" s="13"/>
    </row>
    <row r="5" spans="1:14" x14ac:dyDescent="0.3">
      <c r="A5" s="13"/>
      <c r="B5" s="13"/>
      <c r="C5" s="13"/>
      <c r="D5" s="13"/>
      <c r="E5" s="13"/>
      <c r="F5" s="13"/>
      <c r="G5" s="13"/>
      <c r="H5" s="13"/>
      <c r="I5" s="13"/>
      <c r="J5" s="13" t="s">
        <v>67</v>
      </c>
      <c r="K5" s="13"/>
      <c r="L5" s="13"/>
      <c r="M5" s="13"/>
      <c r="N5" s="13"/>
    </row>
    <row r="6" spans="1:14" x14ac:dyDescent="0.3">
      <c r="A6" s="13"/>
      <c r="B6" s="13"/>
      <c r="C6" s="13"/>
      <c r="D6" s="13"/>
      <c r="E6" s="13"/>
      <c r="F6" s="13"/>
      <c r="G6" s="13"/>
      <c r="H6" s="13"/>
      <c r="I6" s="13"/>
      <c r="J6" s="13" t="s">
        <v>68</v>
      </c>
      <c r="K6" s="13"/>
      <c r="L6" s="13"/>
      <c r="M6" s="13"/>
      <c r="N6" s="13"/>
    </row>
    <row r="7" spans="1:14" x14ac:dyDescent="0.3">
      <c r="A7" s="13"/>
      <c r="B7" s="13"/>
      <c r="C7" s="13"/>
      <c r="D7" s="13"/>
      <c r="E7" s="13"/>
      <c r="F7" s="13"/>
      <c r="G7" s="13"/>
      <c r="H7" s="13"/>
      <c r="I7" s="13"/>
      <c r="J7" s="13" t="s">
        <v>69</v>
      </c>
      <c r="K7" s="13"/>
      <c r="L7" s="13"/>
      <c r="M7" s="13"/>
      <c r="N7" s="13"/>
    </row>
    <row r="8" spans="1:14" x14ac:dyDescent="0.3">
      <c r="A8" s="13"/>
      <c r="B8" s="13"/>
      <c r="C8" s="13"/>
      <c r="D8" s="13"/>
      <c r="E8" s="13"/>
      <c r="F8" s="13"/>
      <c r="G8" s="13"/>
      <c r="H8" s="13"/>
      <c r="I8" s="13"/>
      <c r="J8" s="13" t="s">
        <v>70</v>
      </c>
      <c r="K8" s="13"/>
      <c r="L8" s="13"/>
      <c r="M8" s="13"/>
      <c r="N8" s="13"/>
    </row>
    <row r="9" spans="1:14" x14ac:dyDescent="0.3">
      <c r="A9" s="13"/>
      <c r="B9" s="13"/>
      <c r="C9" s="13"/>
      <c r="D9" s="13"/>
      <c r="E9" s="13"/>
      <c r="F9" s="13"/>
      <c r="G9" s="13"/>
      <c r="H9" s="13"/>
      <c r="I9" s="13"/>
      <c r="J9" s="13" t="s">
        <v>71</v>
      </c>
      <c r="K9" s="13"/>
      <c r="L9" s="13"/>
      <c r="M9" s="13"/>
      <c r="N9" s="13"/>
    </row>
    <row r="10" spans="1:14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 t="s">
        <v>72</v>
      </c>
      <c r="K10" s="13"/>
      <c r="L10" s="13"/>
      <c r="M10" s="13"/>
      <c r="N10" s="13"/>
    </row>
    <row r="11" spans="1:14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 t="s">
        <v>74</v>
      </c>
      <c r="K12" s="13"/>
      <c r="L12" s="13"/>
      <c r="M12" s="13"/>
      <c r="N12" s="13"/>
    </row>
    <row r="13" spans="1:14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5" t="s">
        <v>76</v>
      </c>
      <c r="K13" s="13"/>
      <c r="L13" s="13"/>
      <c r="M13" s="13"/>
      <c r="N13" s="13"/>
    </row>
    <row r="14" spans="1:14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6" t="s">
        <v>75</v>
      </c>
      <c r="K14" s="13"/>
      <c r="L14" s="13"/>
      <c r="M14" s="13"/>
      <c r="N14" s="13"/>
    </row>
    <row r="15" spans="1:14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4" x14ac:dyDescent="0.3">
      <c r="A21" s="13" t="s">
        <v>78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3">
      <c r="A22" s="2" t="s">
        <v>0</v>
      </c>
      <c r="B22" s="11" t="s">
        <v>45</v>
      </c>
      <c r="C22" s="2" t="s">
        <v>1</v>
      </c>
      <c r="D22" s="11" t="s">
        <v>44</v>
      </c>
      <c r="E22" s="17" t="s">
        <v>77</v>
      </c>
      <c r="F22" s="13" t="s">
        <v>88</v>
      </c>
      <c r="G22" s="13"/>
      <c r="H22" s="13"/>
      <c r="I22" s="13"/>
      <c r="J22" s="13"/>
      <c r="K22" s="13"/>
      <c r="L22" s="13"/>
      <c r="M22" s="13"/>
      <c r="N22" s="13"/>
    </row>
    <row r="23" spans="1:14" x14ac:dyDescent="0.3">
      <c r="A23" s="1" t="s">
        <v>2</v>
      </c>
      <c r="B23" s="1">
        <v>1.0000000000000001E-5</v>
      </c>
      <c r="C23" s="1">
        <f>1/B23</f>
        <v>99999.999999999985</v>
      </c>
      <c r="D23" s="1">
        <v>730</v>
      </c>
      <c r="E23" s="24"/>
      <c r="F23" s="13" t="s">
        <v>92</v>
      </c>
      <c r="G23" s="13"/>
      <c r="H23" s="13"/>
      <c r="I23" s="13"/>
      <c r="J23" s="13"/>
      <c r="K23" s="13"/>
      <c r="L23" s="13"/>
      <c r="M23" s="13"/>
      <c r="N23" s="13"/>
    </row>
    <row r="24" spans="1:14" x14ac:dyDescent="0.3">
      <c r="A24" s="1" t="s">
        <v>3</v>
      </c>
      <c r="B24" s="1">
        <v>5.0000000000000002E-5</v>
      </c>
      <c r="C24" s="1">
        <f t="shared" ref="C24:C26" si="0">1/B24</f>
        <v>20000</v>
      </c>
      <c r="D24" s="1">
        <v>730</v>
      </c>
      <c r="E24" s="18"/>
      <c r="F24" s="13" t="s">
        <v>90</v>
      </c>
      <c r="G24" s="13"/>
      <c r="H24" s="13"/>
      <c r="I24" s="13"/>
      <c r="J24" s="13"/>
      <c r="K24" s="13"/>
      <c r="L24" s="13"/>
      <c r="M24" s="13"/>
      <c r="N24" s="13"/>
    </row>
    <row r="25" spans="1:14" x14ac:dyDescent="0.3">
      <c r="A25" s="1" t="s">
        <v>4</v>
      </c>
      <c r="B25" s="1">
        <v>1E-4</v>
      </c>
      <c r="C25" s="1">
        <f t="shared" si="0"/>
        <v>10000</v>
      </c>
      <c r="D25" s="1">
        <v>730</v>
      </c>
      <c r="E25" s="18"/>
      <c r="F25" s="13" t="s">
        <v>90</v>
      </c>
      <c r="G25" s="13"/>
      <c r="H25" s="13"/>
      <c r="I25" s="13"/>
      <c r="J25" s="13"/>
      <c r="K25" s="13"/>
      <c r="L25" s="13"/>
      <c r="M25" s="13"/>
      <c r="N25" s="13"/>
    </row>
    <row r="26" spans="1:14" x14ac:dyDescent="0.3">
      <c r="A26" s="1" t="s">
        <v>5</v>
      </c>
      <c r="B26" s="1">
        <v>1E-4</v>
      </c>
      <c r="C26" s="1">
        <f t="shared" si="0"/>
        <v>10000</v>
      </c>
      <c r="D26" s="1">
        <v>730</v>
      </c>
      <c r="E26" s="18"/>
      <c r="F26" s="13" t="s">
        <v>90</v>
      </c>
      <c r="G26" s="13"/>
      <c r="H26" s="13"/>
      <c r="I26" s="13"/>
      <c r="J26" s="13"/>
      <c r="K26" s="13"/>
      <c r="L26" s="13"/>
      <c r="M26" s="13"/>
      <c r="N26" s="13"/>
    </row>
    <row r="27" spans="1:14" x14ac:dyDescent="0.3">
      <c r="A27" s="1" t="s">
        <v>49</v>
      </c>
      <c r="B27" s="18"/>
      <c r="C27" s="18"/>
      <c r="D27" s="18"/>
      <c r="E27" s="1">
        <v>0.01</v>
      </c>
      <c r="F27" s="13" t="s">
        <v>89</v>
      </c>
      <c r="G27" s="13"/>
      <c r="H27" s="13"/>
      <c r="I27" s="13"/>
      <c r="J27" s="13"/>
      <c r="K27" s="13"/>
      <c r="L27" s="13"/>
      <c r="M27" s="13"/>
      <c r="N27" s="13"/>
    </row>
    <row r="28" spans="1:14" x14ac:dyDescent="0.3">
      <c r="A28" s="1" t="s">
        <v>50</v>
      </c>
      <c r="B28" s="18"/>
      <c r="C28" s="18"/>
      <c r="D28" s="18"/>
      <c r="E28" s="1">
        <v>0.05</v>
      </c>
      <c r="F28" s="13" t="s">
        <v>90</v>
      </c>
      <c r="G28" s="13"/>
      <c r="H28" s="13"/>
      <c r="I28" s="13"/>
      <c r="J28" s="13"/>
      <c r="K28" s="13"/>
      <c r="L28" s="13"/>
      <c r="M28" s="13"/>
      <c r="N28" s="13"/>
    </row>
    <row r="29" spans="1:14" x14ac:dyDescent="0.3">
      <c r="A29" s="1" t="s">
        <v>27</v>
      </c>
      <c r="B29" s="1">
        <v>1E-4</v>
      </c>
      <c r="C29" s="18"/>
      <c r="D29" s="18"/>
      <c r="E29" s="18"/>
      <c r="F29" s="13" t="s">
        <v>91</v>
      </c>
      <c r="G29" s="13"/>
      <c r="H29" s="13"/>
      <c r="I29" s="13"/>
      <c r="J29" s="13"/>
      <c r="K29" s="13"/>
      <c r="L29" s="13"/>
      <c r="M29" s="13"/>
      <c r="N29" s="13"/>
    </row>
    <row r="30" spans="1:14" x14ac:dyDescent="0.3">
      <c r="A30" s="1" t="s">
        <v>26</v>
      </c>
      <c r="B30" s="1">
        <v>5.0000000000000001E-4</v>
      </c>
      <c r="C30" s="18"/>
      <c r="D30" s="18"/>
      <c r="E30" s="18"/>
      <c r="F30" s="13" t="s">
        <v>90</v>
      </c>
      <c r="G30" s="13"/>
      <c r="H30" s="13"/>
      <c r="I30" s="13"/>
      <c r="J30" s="13"/>
      <c r="K30" s="13"/>
      <c r="L30" s="13"/>
      <c r="M30" s="13"/>
      <c r="N30" s="13"/>
    </row>
    <row r="31" spans="1:14" x14ac:dyDescent="0.3">
      <c r="A31" s="1" t="s">
        <v>28</v>
      </c>
      <c r="B31" s="1">
        <v>1E-4</v>
      </c>
      <c r="C31" s="18"/>
      <c r="D31" s="18"/>
      <c r="E31" s="18"/>
      <c r="F31" s="13" t="s">
        <v>90</v>
      </c>
      <c r="G31" s="13"/>
      <c r="H31" s="13"/>
      <c r="I31" s="13"/>
      <c r="J31" s="13"/>
      <c r="K31" s="13"/>
      <c r="L31" s="13"/>
      <c r="M31" s="13"/>
      <c r="N31" s="13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68580</xdr:rowOff>
              </from>
              <to>
                <xdr:col>8</xdr:col>
                <xdr:colOff>563880</xdr:colOff>
                <xdr:row>14</xdr:row>
                <xdr:rowOff>106680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0"/>
  <sheetViews>
    <sheetView zoomScale="130" zoomScaleNormal="130" workbookViewId="0">
      <selection activeCell="K20" sqref="K20"/>
    </sheetView>
  </sheetViews>
  <sheetFormatPr defaultRowHeight="14.4" x14ac:dyDescent="0.3"/>
  <cols>
    <col min="1" max="1" width="11.88671875" customWidth="1"/>
    <col min="12" max="12" width="10.33203125" customWidth="1"/>
  </cols>
  <sheetData>
    <row r="2" spans="1:13" x14ac:dyDescent="0.3">
      <c r="H2" s="2" t="s">
        <v>0</v>
      </c>
      <c r="I2" s="11" t="s">
        <v>45</v>
      </c>
      <c r="J2" s="2" t="s">
        <v>1</v>
      </c>
      <c r="K2" s="11" t="s">
        <v>44</v>
      </c>
      <c r="L2" s="2" t="s">
        <v>46</v>
      </c>
      <c r="M2" s="2" t="s">
        <v>47</v>
      </c>
    </row>
    <row r="3" spans="1:13" x14ac:dyDescent="0.3">
      <c r="H3" s="1" t="s">
        <v>2</v>
      </c>
      <c r="I3" s="1">
        <v>1.0000000000000001E-5</v>
      </c>
      <c r="J3" s="1">
        <f>1/I3</f>
        <v>99999.999999999985</v>
      </c>
      <c r="K3" s="1">
        <v>730</v>
      </c>
      <c r="L3" s="1">
        <f>I3*K3/2</f>
        <v>3.6500000000000005E-3</v>
      </c>
      <c r="M3" s="1">
        <f>1-L3</f>
        <v>0.99634999999999996</v>
      </c>
    </row>
    <row r="4" spans="1:13" x14ac:dyDescent="0.3">
      <c r="H4" s="1" t="s">
        <v>3</v>
      </c>
      <c r="I4" s="1">
        <v>5.0000000000000002E-5</v>
      </c>
      <c r="J4" s="1">
        <f t="shared" ref="J4:J6" si="0">1/I4</f>
        <v>20000</v>
      </c>
      <c r="K4" s="1">
        <v>730</v>
      </c>
      <c r="L4" s="1">
        <f t="shared" ref="L4:L6" si="1">I4*K4/2</f>
        <v>1.8250000000000002E-2</v>
      </c>
      <c r="M4" s="1">
        <f t="shared" ref="M4:M6" si="2">1-L4</f>
        <v>0.98175000000000001</v>
      </c>
    </row>
    <row r="5" spans="1:13" x14ac:dyDescent="0.3">
      <c r="H5" s="1" t="s">
        <v>4</v>
      </c>
      <c r="I5" s="1">
        <v>1E-4</v>
      </c>
      <c r="J5" s="1">
        <f t="shared" si="0"/>
        <v>10000</v>
      </c>
      <c r="K5" s="1">
        <v>730</v>
      </c>
      <c r="L5" s="1">
        <f t="shared" si="1"/>
        <v>3.6500000000000005E-2</v>
      </c>
      <c r="M5" s="1">
        <f t="shared" si="2"/>
        <v>0.96350000000000002</v>
      </c>
    </row>
    <row r="6" spans="1:13" x14ac:dyDescent="0.3">
      <c r="H6" s="1" t="s">
        <v>5</v>
      </c>
      <c r="I6" s="1">
        <v>1E-4</v>
      </c>
      <c r="J6" s="1">
        <f t="shared" si="0"/>
        <v>10000</v>
      </c>
      <c r="K6" s="1">
        <v>730</v>
      </c>
      <c r="L6" s="1">
        <f t="shared" si="1"/>
        <v>3.6500000000000005E-2</v>
      </c>
      <c r="M6" s="1">
        <f t="shared" si="2"/>
        <v>0.96350000000000002</v>
      </c>
    </row>
    <row r="10" spans="1:13" x14ac:dyDescent="0.3">
      <c r="A10" t="s">
        <v>6</v>
      </c>
    </row>
    <row r="11" spans="1:13" ht="15.6" x14ac:dyDescent="0.35">
      <c r="A11" s="3" t="s">
        <v>7</v>
      </c>
    </row>
    <row r="13" spans="1:13" x14ac:dyDescent="0.3">
      <c r="A13" t="s">
        <v>8</v>
      </c>
    </row>
    <row r="14" spans="1:13" ht="15.6" x14ac:dyDescent="0.3">
      <c r="A14" s="4" t="s">
        <v>9</v>
      </c>
    </row>
    <row r="15" spans="1:13" x14ac:dyDescent="0.3">
      <c r="A15" s="4"/>
    </row>
    <row r="16" spans="1:13" x14ac:dyDescent="0.3">
      <c r="A16" s="22" t="s">
        <v>87</v>
      </c>
    </row>
    <row r="17" spans="1:11" x14ac:dyDescent="0.3">
      <c r="A17" s="20" t="s">
        <v>83</v>
      </c>
      <c r="B17" s="21" t="s">
        <v>82</v>
      </c>
      <c r="C17" s="20" t="s">
        <v>17</v>
      </c>
      <c r="D17" s="20"/>
      <c r="E17" s="20"/>
      <c r="F17" s="20"/>
      <c r="G17" s="20"/>
      <c r="H17" s="20"/>
      <c r="I17" s="20"/>
      <c r="J17" s="20"/>
      <c r="K17" s="20"/>
    </row>
    <row r="18" spans="1:11" ht="15.6" x14ac:dyDescent="0.3">
      <c r="A18" s="4" t="s">
        <v>84</v>
      </c>
      <c r="B18" s="6">
        <f>p_CPU_S*p_PSDV*p_PT+p_CPU_S*p_PSDV*p_LT_S-p_CPU_S*p_PSDV*p_PT*p_LT_S</f>
        <v>0.97686345003049679</v>
      </c>
      <c r="C18" s="23" t="str">
        <f ca="1">_xlfn.FORMULATEXT(B18)</f>
        <v>=p_CPU_S*p_PSDV*p_PT+p_CPU_S*p_PSDV*p_LT_S-p_CPU_S*p_PSDV*p_PT*p_LT_S</v>
      </c>
    </row>
    <row r="19" spans="1:11" x14ac:dyDescent="0.3">
      <c r="A19" t="s">
        <v>85</v>
      </c>
      <c r="B19">
        <f>P_S*8760</f>
        <v>8557.3238222671516</v>
      </c>
      <c r="C19" s="23" t="str">
        <f t="shared" ref="C19:C20" ca="1" si="3">_xlfn.FORMULATEXT(B19)</f>
        <v>=P_S*8760</v>
      </c>
    </row>
    <row r="20" spans="1:11" x14ac:dyDescent="0.3">
      <c r="A20" t="s">
        <v>86</v>
      </c>
      <c r="B20">
        <f>(1-P_S)*8760</f>
        <v>202.67617773284809</v>
      </c>
      <c r="C20" s="23" t="str">
        <f t="shared" ca="1" si="3"/>
        <v>=(1-P_S)*8760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0</xdr:col>
                <xdr:colOff>144780</xdr:colOff>
                <xdr:row>0</xdr:row>
                <xdr:rowOff>137160</xdr:rowOff>
              </from>
              <to>
                <xdr:col>5</xdr:col>
                <xdr:colOff>7620</xdr:colOff>
                <xdr:row>6</xdr:row>
                <xdr:rowOff>137160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F1:P19"/>
  <sheetViews>
    <sheetView workbookViewId="0">
      <selection activeCell="Q27" sqref="Q27"/>
    </sheetView>
  </sheetViews>
  <sheetFormatPr defaultRowHeight="14.4" x14ac:dyDescent="0.3"/>
  <cols>
    <col min="10" max="10" width="11.88671875" customWidth="1"/>
    <col min="12" max="12" width="8.88671875" customWidth="1"/>
    <col min="15" max="15" width="12.88671875" customWidth="1"/>
  </cols>
  <sheetData>
    <row r="1" spans="6:16" x14ac:dyDescent="0.3">
      <c r="F1" s="2" t="s">
        <v>0</v>
      </c>
      <c r="G1" s="11" t="s">
        <v>45</v>
      </c>
      <c r="H1" s="2" t="s">
        <v>1</v>
      </c>
      <c r="I1" s="11" t="s">
        <v>44</v>
      </c>
      <c r="J1" s="2" t="s">
        <v>46</v>
      </c>
      <c r="O1" t="s">
        <v>62</v>
      </c>
      <c r="P1" t="s">
        <v>58</v>
      </c>
    </row>
    <row r="2" spans="6:16" x14ac:dyDescent="0.3">
      <c r="F2" s="1" t="s">
        <v>2</v>
      </c>
      <c r="G2" s="1">
        <v>1.0000000000000001E-5</v>
      </c>
      <c r="H2" s="1">
        <f>1/G2</f>
        <v>99999.999999999985</v>
      </c>
      <c r="I2" s="1">
        <v>730</v>
      </c>
      <c r="J2" s="1">
        <f>G2*I2/2</f>
        <v>3.6500000000000005E-3</v>
      </c>
      <c r="O2" s="12">
        <v>1000</v>
      </c>
      <c r="P2">
        <f>O2/I2</f>
        <v>1.3698630136986301</v>
      </c>
    </row>
    <row r="3" spans="6:16" x14ac:dyDescent="0.3">
      <c r="F3" s="1" t="s">
        <v>3</v>
      </c>
      <c r="G3" s="1">
        <v>5.0000000000000002E-5</v>
      </c>
      <c r="H3" s="1">
        <f t="shared" ref="H3:H5" si="0">1/G3</f>
        <v>20000</v>
      </c>
      <c r="I3" s="1">
        <v>730</v>
      </c>
      <c r="J3" s="1">
        <f t="shared" ref="J3:J5" si="1">G3*I3/2</f>
        <v>1.8250000000000002E-2</v>
      </c>
      <c r="O3" s="12">
        <v>7000</v>
      </c>
      <c r="P3">
        <f>O3/I3</f>
        <v>9.5890410958904102</v>
      </c>
    </row>
    <row r="4" spans="6:16" x14ac:dyDescent="0.3">
      <c r="F4" s="1" t="s">
        <v>4</v>
      </c>
      <c r="G4" s="1">
        <v>1E-4</v>
      </c>
      <c r="H4" s="1">
        <f t="shared" si="0"/>
        <v>10000</v>
      </c>
      <c r="I4" s="1">
        <v>730</v>
      </c>
      <c r="J4" s="1">
        <f t="shared" si="1"/>
        <v>3.6500000000000005E-2</v>
      </c>
      <c r="O4" s="12">
        <v>1000</v>
      </c>
      <c r="P4">
        <f>O4/I4</f>
        <v>1.3698630136986301</v>
      </c>
    </row>
    <row r="5" spans="6:16" x14ac:dyDescent="0.3">
      <c r="F5" s="1" t="s">
        <v>5</v>
      </c>
      <c r="G5" s="1">
        <v>1E-4</v>
      </c>
      <c r="H5" s="1">
        <f t="shared" si="0"/>
        <v>10000</v>
      </c>
      <c r="I5" s="1">
        <v>730</v>
      </c>
      <c r="J5" s="1">
        <f t="shared" si="1"/>
        <v>3.6500000000000005E-2</v>
      </c>
      <c r="O5" s="12">
        <v>1000</v>
      </c>
      <c r="P5">
        <f>O5/I5</f>
        <v>1.3698630136986301</v>
      </c>
    </row>
    <row r="6" spans="6:16" x14ac:dyDescent="0.3">
      <c r="O6" t="s">
        <v>59</v>
      </c>
      <c r="P6">
        <f>SUM(P2:P5)</f>
        <v>13.698630136986301</v>
      </c>
    </row>
    <row r="7" spans="6:16" x14ac:dyDescent="0.3">
      <c r="O7" t="s">
        <v>60</v>
      </c>
      <c r="P7">
        <f>TotalCost</f>
        <v>1.3660563000000001</v>
      </c>
    </row>
    <row r="8" spans="6:16" x14ac:dyDescent="0.3">
      <c r="O8" t="s">
        <v>61</v>
      </c>
      <c r="P8">
        <f>P6+P7</f>
        <v>15.064686436986301</v>
      </c>
    </row>
    <row r="9" spans="6:16" x14ac:dyDescent="0.3">
      <c r="O9">
        <v>1200</v>
      </c>
      <c r="P9">
        <f t="dataTable" ref="P9:P18" dt2D="0" dtr="0" r1="I3"/>
        <v>11.999878674429223</v>
      </c>
    </row>
    <row r="10" spans="6:16" x14ac:dyDescent="0.3">
      <c r="F10" t="s">
        <v>10</v>
      </c>
      <c r="J10" t="s">
        <v>16</v>
      </c>
      <c r="K10" t="s">
        <v>17</v>
      </c>
      <c r="O10">
        <f>O9+100</f>
        <v>1300</v>
      </c>
      <c r="P10">
        <v>11.698160725711276</v>
      </c>
    </row>
    <row r="11" spans="6:16" x14ac:dyDescent="0.3">
      <c r="F11" t="s">
        <v>11</v>
      </c>
      <c r="J11">
        <f>q_CPU_S</f>
        <v>3.6500000000000005E-3</v>
      </c>
      <c r="K11" s="5" t="s">
        <v>18</v>
      </c>
      <c r="O11">
        <f t="shared" ref="O11:O18" si="2">O10+100</f>
        <v>1400</v>
      </c>
      <c r="P11">
        <v>11.460545341095891</v>
      </c>
    </row>
    <row r="12" spans="6:16" x14ac:dyDescent="0.3">
      <c r="F12" t="s">
        <v>12</v>
      </c>
      <c r="J12">
        <f>q_PSDV</f>
        <v>1.8250000000000002E-2</v>
      </c>
      <c r="K12" s="5" t="s">
        <v>19</v>
      </c>
      <c r="O12">
        <f t="shared" si="2"/>
        <v>1500</v>
      </c>
      <c r="P12">
        <v>11.274212007762557</v>
      </c>
    </row>
    <row r="13" spans="6:16" x14ac:dyDescent="0.3">
      <c r="F13" t="s">
        <v>13</v>
      </c>
      <c r="O13">
        <f t="shared" si="2"/>
        <v>1600</v>
      </c>
      <c r="P13">
        <v>11.129545341095891</v>
      </c>
    </row>
    <row r="14" spans="6:16" x14ac:dyDescent="0.3">
      <c r="F14" t="s">
        <v>14</v>
      </c>
      <c r="O14">
        <f t="shared" si="2"/>
        <v>1700</v>
      </c>
      <c r="P14">
        <v>11.019192399919421</v>
      </c>
    </row>
    <row r="15" spans="6:16" x14ac:dyDescent="0.3">
      <c r="F15" t="s">
        <v>15</v>
      </c>
      <c r="J15">
        <f>q_PT*q_LT_S</f>
        <v>1.3322500000000003E-3</v>
      </c>
      <c r="K15" s="5" t="s">
        <v>20</v>
      </c>
      <c r="O15">
        <f t="shared" si="2"/>
        <v>1800</v>
      </c>
      <c r="P15">
        <v>10.937434229984781</v>
      </c>
    </row>
    <row r="16" spans="6:16" x14ac:dyDescent="0.3">
      <c r="O16">
        <f t="shared" si="2"/>
        <v>1900</v>
      </c>
      <c r="P16">
        <v>10.879755867411681</v>
      </c>
    </row>
    <row r="17" spans="6:16" ht="15.6" x14ac:dyDescent="0.35">
      <c r="F17" t="s">
        <v>21</v>
      </c>
      <c r="I17" s="7" t="s">
        <v>22</v>
      </c>
      <c r="J17">
        <f>SUM(J11:J15)</f>
        <v>2.3232250000000003E-2</v>
      </c>
      <c r="K17" s="9">
        <f>J17*8760</f>
        <v>203.51451000000003</v>
      </c>
      <c r="L17" t="s">
        <v>25</v>
      </c>
      <c r="O17">
        <f t="shared" si="2"/>
        <v>2000</v>
      </c>
      <c r="P17">
        <v>10.842545341095892</v>
      </c>
    </row>
    <row r="18" spans="6:16" ht="15.6" x14ac:dyDescent="0.35">
      <c r="I18" s="7" t="s">
        <v>23</v>
      </c>
      <c r="J18">
        <f>1-J17</f>
        <v>0.97676775000000005</v>
      </c>
      <c r="O18">
        <f t="shared" si="2"/>
        <v>2100</v>
      </c>
      <c r="P18">
        <v>10.822878674429225</v>
      </c>
    </row>
    <row r="19" spans="6:16" ht="15.6" x14ac:dyDescent="0.35">
      <c r="I19" s="8" t="s">
        <v>24</v>
      </c>
      <c r="J19">
        <f>P_S</f>
        <v>0.97686345003049679</v>
      </c>
      <c r="L19" t="s">
        <v>79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077" r:id="rId4">
          <objectPr defaultSize="0" r:id="rId5">
            <anchor moveWithCells="1">
              <from>
                <xdr:col>0</xdr:col>
                <xdr:colOff>83820</xdr:colOff>
                <xdr:row>0</xdr:row>
                <xdr:rowOff>99060</xdr:rowOff>
              </from>
              <to>
                <xdr:col>3</xdr:col>
                <xdr:colOff>228600</xdr:colOff>
                <xdr:row>18</xdr:row>
                <xdr:rowOff>22860</xdr:rowOff>
              </to>
            </anchor>
          </objectPr>
        </oleObject>
      </mc:Choice>
      <mc:Fallback>
        <oleObject progId="Visio.Drawing.11" shapeId="307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I2:O23"/>
  <sheetViews>
    <sheetView workbookViewId="0">
      <selection activeCell="P23" sqref="P23"/>
    </sheetView>
  </sheetViews>
  <sheetFormatPr defaultRowHeight="14.4" x14ac:dyDescent="0.3"/>
  <cols>
    <col min="13" max="13" width="12" bestFit="1" customWidth="1"/>
  </cols>
  <sheetData>
    <row r="2" spans="9:14" x14ac:dyDescent="0.3">
      <c r="I2" s="2" t="s">
        <v>0</v>
      </c>
      <c r="J2" s="11" t="s">
        <v>45</v>
      </c>
    </row>
    <row r="3" spans="9:14" x14ac:dyDescent="0.3">
      <c r="I3" s="1" t="s">
        <v>27</v>
      </c>
      <c r="J3" s="1">
        <v>1E-4</v>
      </c>
    </row>
    <row r="4" spans="9:14" x14ac:dyDescent="0.3">
      <c r="I4" s="1" t="s">
        <v>26</v>
      </c>
      <c r="J4" s="1">
        <v>5.0000000000000001E-4</v>
      </c>
    </row>
    <row r="5" spans="9:14" x14ac:dyDescent="0.3">
      <c r="I5" s="1" t="s">
        <v>28</v>
      </c>
      <c r="J5" s="1">
        <v>1E-4</v>
      </c>
    </row>
    <row r="8" spans="9:14" x14ac:dyDescent="0.3">
      <c r="I8" t="s">
        <v>41</v>
      </c>
    </row>
    <row r="10" spans="9:14" x14ac:dyDescent="0.3">
      <c r="I10" t="s">
        <v>29</v>
      </c>
      <c r="M10" t="s">
        <v>40</v>
      </c>
      <c r="N10" t="s">
        <v>17</v>
      </c>
    </row>
    <row r="11" spans="9:14" x14ac:dyDescent="0.3">
      <c r="I11" t="s">
        <v>30</v>
      </c>
      <c r="M11">
        <f>lambda_LCV*q_CPU_S</f>
        <v>1.8250000000000003E-6</v>
      </c>
      <c r="N11" s="5" t="str">
        <f ca="1">_xlfn.FORMULATEXT(M11)</f>
        <v>=lambda_LCV*q_CPU_S</v>
      </c>
    </row>
    <row r="12" spans="9:14" x14ac:dyDescent="0.3">
      <c r="I12" t="s">
        <v>31</v>
      </c>
      <c r="M12">
        <f>lambda_LCV*q_PSDV</f>
        <v>9.1250000000000016E-6</v>
      </c>
      <c r="N12" s="5" t="str">
        <f t="shared" ref="N12:N16" ca="1" si="0">_xlfn.FORMULATEXT(M12)</f>
        <v>=lambda_LCV*q_PSDV</v>
      </c>
    </row>
    <row r="13" spans="9:14" x14ac:dyDescent="0.3">
      <c r="I13" t="s">
        <v>32</v>
      </c>
      <c r="M13">
        <f>lambda_CPU_R*q_CPU_S</f>
        <v>3.6500000000000005E-7</v>
      </c>
      <c r="N13" s="5" t="str">
        <f t="shared" ca="1" si="0"/>
        <v>=lambda_CPU_R*q_CPU_S</v>
      </c>
    </row>
    <row r="14" spans="9:14" x14ac:dyDescent="0.3">
      <c r="I14" t="s">
        <v>33</v>
      </c>
      <c r="M14">
        <f>lambda_CPU_R*q_PSDV</f>
        <v>1.8250000000000003E-6</v>
      </c>
      <c r="N14" s="5" t="str">
        <f t="shared" ca="1" si="0"/>
        <v>=lambda_CPU_R*q_PSDV</v>
      </c>
    </row>
    <row r="15" spans="9:14" x14ac:dyDescent="0.3">
      <c r="I15" t="s">
        <v>34</v>
      </c>
      <c r="M15">
        <f>lambda_LT_R*q_CPU_S</f>
        <v>3.6500000000000005E-7</v>
      </c>
      <c r="N15" s="5" t="str">
        <f t="shared" ca="1" si="0"/>
        <v>=lambda_LT_R*q_CPU_S</v>
      </c>
    </row>
    <row r="16" spans="9:14" x14ac:dyDescent="0.3">
      <c r="I16" t="s">
        <v>35</v>
      </c>
      <c r="M16">
        <f>lambda_LT_R*q_PSDV</f>
        <v>1.8250000000000003E-6</v>
      </c>
      <c r="N16" s="5" t="str">
        <f t="shared" ca="1" si="0"/>
        <v>=lambda_LT_R*q_PSDV</v>
      </c>
    </row>
    <row r="17" spans="9:15" x14ac:dyDescent="0.3">
      <c r="I17" t="s">
        <v>13</v>
      </c>
    </row>
    <row r="18" spans="9:15" x14ac:dyDescent="0.3">
      <c r="I18" t="s">
        <v>36</v>
      </c>
    </row>
    <row r="19" spans="9:15" x14ac:dyDescent="0.3">
      <c r="I19" t="s">
        <v>37</v>
      </c>
      <c r="M19">
        <f>lambda_LCV*q_PT*q_LT_S</f>
        <v>6.6612500000000023E-7</v>
      </c>
      <c r="N19" s="5" t="str">
        <f t="shared" ref="N19:N21" ca="1" si="1">_xlfn.FORMULATEXT(M19)</f>
        <v>=lambda_LCV*q_PT*q_LT_S</v>
      </c>
    </row>
    <row r="20" spans="9:15" x14ac:dyDescent="0.3">
      <c r="I20" t="s">
        <v>38</v>
      </c>
      <c r="M20">
        <f>lambda_CPU_R*q_PT*q_LT_S</f>
        <v>1.3322500000000003E-7</v>
      </c>
      <c r="N20" s="5" t="str">
        <f t="shared" ca="1" si="1"/>
        <v>=lambda_CPU_R*q_PT*q_LT_S</v>
      </c>
    </row>
    <row r="21" spans="9:15" x14ac:dyDescent="0.3">
      <c r="I21" t="s">
        <v>39</v>
      </c>
      <c r="M21">
        <f>lambda_LT_R*q_PT*q_LT_S</f>
        <v>1.3322500000000003E-7</v>
      </c>
      <c r="N21" s="5" t="str">
        <f t="shared" ca="1" si="1"/>
        <v>=lambda_LT_R*q_PT*q_LT_S</v>
      </c>
    </row>
    <row r="23" spans="9:15" ht="15.6" x14ac:dyDescent="0.35">
      <c r="I23" t="s">
        <v>21</v>
      </c>
      <c r="L23" s="7" t="s">
        <v>42</v>
      </c>
      <c r="M23">
        <f>SUM(M11:M21)</f>
        <v>1.6262575000000001E-5</v>
      </c>
      <c r="N23" s="10">
        <f>M23*8760</f>
        <v>0.142460157</v>
      </c>
      <c r="O23" t="s">
        <v>43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4097" r:id="rId4">
          <objectPr defaultSize="0" r:id="rId5">
            <anchor moveWithCells="1">
              <from>
                <xdr:col>0</xdr:col>
                <xdr:colOff>114300</xdr:colOff>
                <xdr:row>0</xdr:row>
                <xdr:rowOff>137160</xdr:rowOff>
              </from>
              <to>
                <xdr:col>7</xdr:col>
                <xdr:colOff>182880</xdr:colOff>
                <xdr:row>23</xdr:row>
                <xdr:rowOff>106680</xdr:rowOff>
              </to>
            </anchor>
          </objectPr>
        </oleObject>
      </mc:Choice>
      <mc:Fallback>
        <oleObject progId="Visio.Drawing.11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2:R12"/>
  <sheetViews>
    <sheetView workbookViewId="0">
      <selection activeCell="L18" sqref="L18"/>
    </sheetView>
  </sheetViews>
  <sheetFormatPr defaultRowHeight="14.4" x14ac:dyDescent="0.3"/>
  <cols>
    <col min="10" max="10" width="14.5546875" customWidth="1"/>
    <col min="11" max="12" width="12" bestFit="1" customWidth="1"/>
  </cols>
  <sheetData>
    <row r="2" spans="10:18" x14ac:dyDescent="0.3">
      <c r="K2" s="2" t="s">
        <v>0</v>
      </c>
      <c r="L2" s="2" t="s">
        <v>48</v>
      </c>
    </row>
    <row r="3" spans="10:18" x14ac:dyDescent="0.3">
      <c r="K3" s="1" t="s">
        <v>49</v>
      </c>
      <c r="L3" s="1">
        <v>0.01</v>
      </c>
    </row>
    <row r="4" spans="10:18" x14ac:dyDescent="0.3">
      <c r="K4" s="1" t="s">
        <v>50</v>
      </c>
      <c r="L4" s="1">
        <v>0.05</v>
      </c>
    </row>
    <row r="7" spans="10:18" x14ac:dyDescent="0.3">
      <c r="J7" t="s">
        <v>51</v>
      </c>
      <c r="K7" t="s">
        <v>52</v>
      </c>
      <c r="L7" t="s">
        <v>81</v>
      </c>
      <c r="M7" t="s">
        <v>80</v>
      </c>
      <c r="N7" t="s">
        <v>53</v>
      </c>
      <c r="O7" t="s">
        <v>54</v>
      </c>
    </row>
    <row r="8" spans="10:18" x14ac:dyDescent="0.3">
      <c r="J8" t="s">
        <v>55</v>
      </c>
      <c r="K8" s="19">
        <f>Freq_TOP*q_PSV*q_RD</f>
        <v>8.1312875000000008E-9</v>
      </c>
      <c r="L8" s="19">
        <f>K8*8760</f>
        <v>7.1230078500000006E-5</v>
      </c>
      <c r="M8">
        <v>50000000</v>
      </c>
      <c r="N8">
        <f>K8*M8</f>
        <v>0.40656437500000003</v>
      </c>
      <c r="O8" t="str">
        <f ca="1">_xlfn.FORMULATEXT(K8)</f>
        <v>=Freq_TOP*q_PSV*q_RD</v>
      </c>
      <c r="R8" s="5"/>
    </row>
    <row r="9" spans="10:18" x14ac:dyDescent="0.3">
      <c r="J9" t="s">
        <v>56</v>
      </c>
      <c r="K9" s="19">
        <f>Freq_TOP*q_PSV*(1-q_RD)</f>
        <v>1.5449446249999999E-7</v>
      </c>
      <c r="L9" s="19">
        <f t="shared" ref="L9:L11" si="0">K9*8760</f>
        <v>1.3533714914999999E-3</v>
      </c>
      <c r="M9">
        <v>1000000</v>
      </c>
      <c r="N9">
        <f>K9*M9</f>
        <v>0.15449446249999998</v>
      </c>
      <c r="O9" t="str">
        <f t="shared" ref="O9:O12" ca="1" si="1">_xlfn.FORMULATEXT(K9)</f>
        <v>=Freq_TOP*q_PSV*(1-q_RD)</v>
      </c>
      <c r="R9" s="5"/>
    </row>
    <row r="10" spans="10:18" x14ac:dyDescent="0.3">
      <c r="J10" t="s">
        <v>57</v>
      </c>
      <c r="K10" s="19">
        <f>Freq_TOP*(1-q_PSV)</f>
        <v>1.6099949250000001E-5</v>
      </c>
      <c r="L10" s="19">
        <f t="shared" si="0"/>
        <v>0.14103555543000001</v>
      </c>
      <c r="M10">
        <v>50000</v>
      </c>
      <c r="N10">
        <f>K10*M10</f>
        <v>0.80499746250000004</v>
      </c>
      <c r="O10" t="str">
        <f t="shared" ca="1" si="1"/>
        <v>=Freq_TOP*(1-q_PSV)</v>
      </c>
      <c r="R10" s="5"/>
    </row>
    <row r="11" spans="10:18" x14ac:dyDescent="0.3">
      <c r="J11" t="s">
        <v>61</v>
      </c>
      <c r="K11" s="19">
        <f>SUM(K8:K10)</f>
        <v>1.6262575000000001E-5</v>
      </c>
      <c r="L11" s="19">
        <f t="shared" si="0"/>
        <v>0.142460157</v>
      </c>
      <c r="N11">
        <f>SUM(N8:N10)</f>
        <v>1.3660563000000001</v>
      </c>
      <c r="O11" t="str">
        <f t="shared" ca="1" si="1"/>
        <v>=SUM(K8:K10)</v>
      </c>
    </row>
    <row r="12" spans="10:18" x14ac:dyDescent="0.3">
      <c r="J12" t="s">
        <v>63</v>
      </c>
      <c r="K12" s="10">
        <f>K11*8760</f>
        <v>0.142460157</v>
      </c>
      <c r="N12" s="12">
        <f>N11*8760</f>
        <v>11966.653188</v>
      </c>
      <c r="O12" t="str">
        <f t="shared" ca="1" si="1"/>
        <v>=K11*8760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106680</xdr:rowOff>
              </from>
              <to>
                <xdr:col>8</xdr:col>
                <xdr:colOff>121920</xdr:colOff>
                <xdr:row>10</xdr:row>
                <xdr:rowOff>106680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System</vt:lpstr>
      <vt:lpstr>RBD-Sikkerhetssystem</vt:lpstr>
      <vt:lpstr>FTA-Sikkerhetssystem</vt:lpstr>
      <vt:lpstr>FTA-Sikkerhetssyst. og regsyst.</vt:lpstr>
      <vt:lpstr>ETA</vt:lpstr>
      <vt:lpstr>Cost_per_hour</vt:lpstr>
      <vt:lpstr>Freq_TOP</vt:lpstr>
      <vt:lpstr>lambda_CPU_R</vt:lpstr>
      <vt:lpstr>lambda_LCV</vt:lpstr>
      <vt:lpstr>lambda_LT_R</vt:lpstr>
      <vt:lpstr>p_CPU_S</vt:lpstr>
      <vt:lpstr>p_LT_S</vt:lpstr>
      <vt:lpstr>p_PSDV</vt:lpstr>
      <vt:lpstr>p_PT</vt:lpstr>
      <vt:lpstr>P_S</vt:lpstr>
      <vt:lpstr>q_CPU_S</vt:lpstr>
      <vt:lpstr>q_LT_S</vt:lpstr>
      <vt:lpstr>q_PSDV</vt:lpstr>
      <vt:lpstr>q_PSV</vt:lpstr>
      <vt:lpstr>q_PT</vt:lpstr>
      <vt:lpstr>q_RD</vt:lpstr>
      <vt:lpstr>TotalCost</vt:lpstr>
      <vt:lpstr>totcost</vt:lpstr>
    </vt:vector>
  </TitlesOfParts>
  <Company>Fakultet for Ingeniørvitenskap og Teknologi, 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2015-10-14T17:24:26Z</dcterms:created>
  <dcterms:modified xsi:type="dcterms:W3CDTF">2018-10-30T21:39:34Z</dcterms:modified>
</cp:coreProperties>
</file>