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Learning\PK8200\Problems\"/>
    </mc:Choice>
  </mc:AlternateContent>
  <xr:revisionPtr revIDLastSave="0" documentId="13_ncr:1_{9D7FCA68-818B-4F29-885D-6AC2C57EDD06}" xr6:coauthVersionLast="47" xr6:coauthVersionMax="47" xr10:uidLastSave="{00000000-0000-0000-0000-000000000000}"/>
  <bookViews>
    <workbookView xWindow="2270" yWindow="690" windowWidth="13730" windowHeight="9450" activeTab="1" xr2:uid="{00000000-000D-0000-FFFF-FFFF00000000}"/>
  </bookViews>
  <sheets>
    <sheet name="ETA" sheetId="1" r:id="rId1"/>
    <sheet name="FTA_PSD" sheetId="2" r:id="rId2"/>
    <sheet name="ETADiagram" sheetId="5" r:id="rId3"/>
    <sheet name="FTADiagram_PSD" sheetId="4" r:id="rId4"/>
  </sheets>
  <definedNames>
    <definedName name="BetaPSD">FTA_PSD!$B$8</definedName>
    <definedName name="BetaPSV">ETA!$B$6</definedName>
    <definedName name="BetaPSW">FTA_PSD!$B$7</definedName>
    <definedName name="DemandFrequency">ETA!$B$2</definedName>
    <definedName name="LambdaPSD">FTA_PSD!$B$3</definedName>
    <definedName name="LambdaPSV">ETA!$B$3</definedName>
    <definedName name="LambdaPSW">FTA_PSD!$B$2</definedName>
    <definedName name="PFDPSD">FTA_PSD!$D$16</definedName>
    <definedName name="PLLCost">ETA!$I$9</definedName>
    <definedName name="ProdLoss">ETA!$I$11</definedName>
    <definedName name="PSF">ETA!$B$15</definedName>
    <definedName name="PSF0">ETA!$B$23</definedName>
    <definedName name="qLU">FTA_PSD!$B$4</definedName>
    <definedName name="qPSD">ETA!$B$8</definedName>
    <definedName name="qPSV">ETA!$B$7</definedName>
    <definedName name="qRD">ETA!$B$4</definedName>
    <definedName name="TauPSD">FTA_PSD!$B$6</definedName>
    <definedName name="TauPSV">ETA!$B$5</definedName>
    <definedName name="TauPSW">FTA_PSD!$B$5</definedName>
    <definedName name="TotalPLL">ETA!$I$8</definedName>
    <definedName name="TotCostCell">ETA!$I$14</definedName>
    <definedName name="TotPSF">ETA!$B$18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2" l="1"/>
  <c r="B13" i="2" s="1"/>
  <c r="B4" i="2"/>
  <c r="B4" i="1"/>
  <c r="F5" i="1" s="1"/>
  <c r="B14" i="2"/>
  <c r="D14" i="2" s="1"/>
  <c r="B7" i="1"/>
  <c r="B15" i="2"/>
  <c r="C15" i="2"/>
  <c r="B2" i="1"/>
  <c r="E2" i="1"/>
  <c r="F2" i="1"/>
  <c r="G2" i="1"/>
  <c r="H2" i="1"/>
  <c r="B5" i="1"/>
  <c r="H12" i="2"/>
  <c r="H13" i="2" s="1"/>
  <c r="H14" i="2" s="1"/>
  <c r="H15" i="2" s="1"/>
  <c r="H16" i="2" s="1"/>
  <c r="H17" i="2" s="1"/>
  <c r="H18" i="2" s="1"/>
  <c r="H19" i="2" s="1"/>
  <c r="H20" i="2" s="1"/>
  <c r="H21" i="2" s="1"/>
  <c r="C13" i="2" l="1"/>
  <c r="D13" i="2" s="1"/>
  <c r="D15" i="2"/>
  <c r="E5" i="1"/>
  <c r="D16" i="2" l="1"/>
  <c r="E4" i="1"/>
  <c r="G4" i="1"/>
  <c r="F4" i="1"/>
  <c r="B8" i="1" l="1"/>
  <c r="H3" i="1" s="1"/>
  <c r="H6" i="1" s="1"/>
  <c r="G3" i="1" l="1"/>
  <c r="G6" i="1" s="1"/>
  <c r="G11" i="1" s="1"/>
  <c r="F3" i="1"/>
  <c r="F6" i="1" s="1"/>
  <c r="F8" i="1" s="1"/>
  <c r="E3" i="1"/>
  <c r="E6" i="1" s="1"/>
  <c r="E8" i="1" s="1"/>
  <c r="H8" i="1"/>
  <c r="H11" i="1"/>
  <c r="F11" i="1"/>
  <c r="G8" i="1" l="1"/>
  <c r="I8" i="1" s="1"/>
  <c r="I6" i="1"/>
  <c r="E11" i="1"/>
  <c r="I11" i="1"/>
  <c r="I14" i="1"/>
  <c r="I9" i="1"/>
  <c r="B10" i="2" l="1"/>
  <c r="I10" i="2" s="1"/>
  <c r="I12" i="1"/>
  <c r="G8" i="2"/>
  <c r="G10" i="2" s="1"/>
  <c r="I21" i="1" s="1"/>
  <c r="G4" i="2"/>
  <c r="G6" i="2" s="1"/>
  <c r="I20" i="1" s="1"/>
  <c r="G12" i="2"/>
  <c r="G14" i="2" s="1"/>
  <c r="I22" i="1" s="1"/>
  <c r="E17" i="1"/>
  <c r="E19" i="1" s="1"/>
  <c r="I18" i="1" s="1"/>
  <c r="E21" i="1"/>
  <c r="E23" i="1" s="1"/>
  <c r="I19" i="1" s="1"/>
</calcChain>
</file>

<file path=xl/sharedStrings.xml><?xml version="1.0" encoding="utf-8"?>
<sst xmlns="http://schemas.openxmlformats.org/spreadsheetml/2006/main" count="73" uniqueCount="55">
  <si>
    <t>Input parameters</t>
  </si>
  <si>
    <r>
      <t>l</t>
    </r>
    <r>
      <rPr>
        <vertAlign val="subscript"/>
        <sz val="10"/>
        <rFont val="Arial"/>
        <family val="2"/>
      </rPr>
      <t>PSW</t>
    </r>
  </si>
  <si>
    <r>
      <t>t</t>
    </r>
    <r>
      <rPr>
        <vertAlign val="subscript"/>
        <sz val="10"/>
        <rFont val="Arial"/>
        <family val="2"/>
      </rPr>
      <t>PSW</t>
    </r>
  </si>
  <si>
    <r>
      <t>l</t>
    </r>
    <r>
      <rPr>
        <vertAlign val="subscript"/>
        <sz val="10"/>
        <rFont val="Arial"/>
        <family val="2"/>
      </rPr>
      <t>PSV</t>
    </r>
  </si>
  <si>
    <r>
      <t>l</t>
    </r>
    <r>
      <rPr>
        <vertAlign val="subscript"/>
        <sz val="10"/>
        <rFont val="Arial"/>
        <family val="2"/>
      </rPr>
      <t>PSD</t>
    </r>
  </si>
  <si>
    <r>
      <t>t</t>
    </r>
    <r>
      <rPr>
        <vertAlign val="subscript"/>
        <sz val="10"/>
        <rFont val="Arial"/>
        <family val="2"/>
      </rPr>
      <t>PSD</t>
    </r>
  </si>
  <si>
    <r>
      <t>q</t>
    </r>
    <r>
      <rPr>
        <i/>
        <vertAlign val="subscript"/>
        <sz val="10"/>
        <rFont val="Arial"/>
        <family val="2"/>
      </rPr>
      <t>LU</t>
    </r>
  </si>
  <si>
    <r>
      <t>b</t>
    </r>
    <r>
      <rPr>
        <vertAlign val="subscript"/>
        <sz val="10"/>
        <rFont val="Arial"/>
        <family val="2"/>
      </rPr>
      <t>PSW</t>
    </r>
  </si>
  <si>
    <r>
      <t>b</t>
    </r>
    <r>
      <rPr>
        <vertAlign val="subscript"/>
        <sz val="10"/>
        <rFont val="Arial"/>
        <family val="2"/>
      </rPr>
      <t>PSD</t>
    </r>
  </si>
  <si>
    <t>Element</t>
  </si>
  <si>
    <t>Independ.</t>
  </si>
  <si>
    <t>Depend.</t>
  </si>
  <si>
    <t>PSW</t>
  </si>
  <si>
    <t>LU</t>
  </si>
  <si>
    <t>PSD</t>
  </si>
  <si>
    <t>Total</t>
  </si>
  <si>
    <t>Total PFD</t>
  </si>
  <si>
    <r>
      <t>q</t>
    </r>
    <r>
      <rPr>
        <i/>
        <vertAlign val="subscript"/>
        <sz val="10"/>
        <rFont val="Arial"/>
        <family val="2"/>
      </rPr>
      <t>RD</t>
    </r>
  </si>
  <si>
    <r>
      <t>t</t>
    </r>
    <r>
      <rPr>
        <vertAlign val="subscript"/>
        <sz val="10"/>
        <rFont val="Arial"/>
        <family val="2"/>
      </rPr>
      <t>PSV</t>
    </r>
  </si>
  <si>
    <r>
      <t>b</t>
    </r>
    <r>
      <rPr>
        <vertAlign val="subscript"/>
        <sz val="10"/>
        <rFont val="Arial"/>
        <family val="2"/>
      </rPr>
      <t>PSV</t>
    </r>
  </si>
  <si>
    <r>
      <t>q</t>
    </r>
    <r>
      <rPr>
        <i/>
        <vertAlign val="subscript"/>
        <sz val="10"/>
        <rFont val="Arial"/>
        <family val="2"/>
      </rPr>
      <t>PSV</t>
    </r>
  </si>
  <si>
    <r>
      <t>q</t>
    </r>
    <r>
      <rPr>
        <i/>
        <vertAlign val="subscript"/>
        <sz val="10"/>
        <rFont val="Arial"/>
        <family val="2"/>
      </rPr>
      <t>PSD</t>
    </r>
  </si>
  <si>
    <t>Rupture</t>
  </si>
  <si>
    <t>Gas flow.</t>
  </si>
  <si>
    <t>Gas relieved</t>
  </si>
  <si>
    <t>OK Shutd.</t>
  </si>
  <si>
    <r>
      <t>l</t>
    </r>
    <r>
      <rPr>
        <vertAlign val="subscript"/>
        <sz val="10"/>
        <rFont val="Arial"/>
        <family val="2"/>
      </rPr>
      <t>Demand</t>
    </r>
  </si>
  <si>
    <t>lambda</t>
  </si>
  <si>
    <t>PSV</t>
  </si>
  <si>
    <t>RD</t>
  </si>
  <si>
    <t>Freq</t>
  </si>
  <si>
    <t>PLL</t>
  </si>
  <si>
    <t>PM</t>
  </si>
  <si>
    <t>TotCost</t>
  </si>
  <si>
    <t>Comment</t>
  </si>
  <si>
    <t>Constant failure probability, logic unit</t>
  </si>
  <si>
    <t>Test interval, pressure swithces</t>
  </si>
  <si>
    <t>Test interval, prosess shutdown valves</t>
  </si>
  <si>
    <t>Rate of DU failures, pressure switches</t>
  </si>
  <si>
    <r>
      <t>b</t>
    </r>
    <r>
      <rPr>
        <sz val="10"/>
        <rFont val="Arial"/>
        <family val="2"/>
      </rPr>
      <t>-factor prosess shutdown valves</t>
    </r>
  </si>
  <si>
    <t>Rate of DU failures, prosess shutdown valves</t>
  </si>
  <si>
    <r>
      <t>b</t>
    </r>
    <r>
      <rPr>
        <sz val="10"/>
        <rFont val="Arial"/>
        <family val="2"/>
      </rPr>
      <t>-factor pressure switches</t>
    </r>
  </si>
  <si>
    <t>Cost</t>
  </si>
  <si>
    <t>(Tot. PLL)</t>
  </si>
  <si>
    <r>
      <t>(VPF</t>
    </r>
    <r>
      <rPr>
        <sz val="10"/>
        <rFont val="Symbol"/>
        <family val="1"/>
        <charset val="2"/>
      </rPr>
      <t>´</t>
    </r>
    <r>
      <rPr>
        <sz val="10"/>
        <rFont val="Arial"/>
        <family val="2"/>
      </rPr>
      <t>PLL)</t>
    </r>
  </si>
  <si>
    <t>PLL Contr.</t>
  </si>
  <si>
    <t>Cost Contr</t>
  </si>
  <si>
    <t>(Total mat.cost+prod.loss)</t>
  </si>
  <si>
    <t>(Tot VPF + mat + prod)</t>
  </si>
  <si>
    <t>Parameter</t>
  </si>
  <si>
    <t>Impr.pot.</t>
  </si>
  <si>
    <t>PLL*VPF</t>
  </si>
  <si>
    <t>CostCell</t>
  </si>
  <si>
    <t>Impr.Pot</t>
  </si>
  <si>
    <t>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</si>
</sst>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E+00"/>
  </numFmts>
  <fonts count="10" x14ac:knownFonts="1">
    <font>
      <sz val="10"/>
      <name val="Arial"/>
    </font>
    <font>
      <sz val="10"/>
      <color indexed="9"/>
      <name val="Arial"/>
      <family val="2"/>
    </font>
    <font>
      <i/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justify"/>
    </xf>
    <xf numFmtId="11" fontId="4" fillId="4" borderId="0" xfId="0" applyNumberFormat="1" applyFont="1" applyFill="1" applyAlignment="1">
      <alignment horizontal="right"/>
    </xf>
    <xf numFmtId="0" fontId="5" fillId="3" borderId="0" xfId="0" applyFont="1" applyFill="1"/>
    <xf numFmtId="9" fontId="4" fillId="4" borderId="0" xfId="0" applyNumberFormat="1" applyFont="1" applyFill="1" applyAlignment="1">
      <alignment horizontal="right"/>
    </xf>
    <xf numFmtId="0" fontId="4" fillId="3" borderId="0" xfId="0" applyFont="1" applyFill="1"/>
    <xf numFmtId="11" fontId="1" fillId="5" borderId="0" xfId="0" applyNumberFormat="1" applyFont="1" applyFill="1"/>
    <xf numFmtId="1" fontId="4" fillId="4" borderId="0" xfId="0" applyNumberFormat="1" applyFont="1" applyFill="1" applyAlignment="1">
      <alignment horizontal="right"/>
    </xf>
    <xf numFmtId="0" fontId="0" fillId="3" borderId="0" xfId="0" applyFill="1"/>
    <xf numFmtId="0" fontId="0" fillId="4" borderId="0" xfId="0" applyFill="1"/>
    <xf numFmtId="2" fontId="4" fillId="4" borderId="0" xfId="0" applyNumberFormat="1" applyFont="1" applyFill="1" applyAlignment="1">
      <alignment horizontal="right"/>
    </xf>
    <xf numFmtId="0" fontId="8" fillId="0" borderId="0" xfId="0" applyFont="1"/>
    <xf numFmtId="164" fontId="0" fillId="0" borderId="0" xfId="0" applyNumberFormat="1"/>
    <xf numFmtId="165" fontId="0" fillId="4" borderId="0" xfId="0" applyNumberFormat="1" applyFill="1"/>
    <xf numFmtId="2" fontId="0" fillId="0" borderId="0" xfId="0" applyNumberFormat="1"/>
    <xf numFmtId="0" fontId="4" fillId="0" borderId="0" xfId="0" applyFont="1"/>
    <xf numFmtId="0" fontId="9" fillId="2" borderId="0" xfId="0" applyFont="1" applyFill="1" applyAlignment="1">
      <alignment horizontal="justify"/>
    </xf>
    <xf numFmtId="11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5932990644124"/>
          <c:y val="0.11458372186863156"/>
          <c:w val="0.84544267265977713"/>
          <c:h val="0.687502331211789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FTA_PSD!$I$10</c:f>
              <c:strCache>
                <c:ptCount val="1"/>
                <c:pt idx="0">
                  <c:v>8254.712739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FTA_PSD!$H$11:$H$21</c:f>
              <c:numCache>
                <c:formatCode>General</c:formatCode>
                <c:ptCount val="11"/>
                <c:pt idx="0">
                  <c:v>720</c:v>
                </c:pt>
                <c:pt idx="1">
                  <c:v>1440</c:v>
                </c:pt>
                <c:pt idx="2">
                  <c:v>2160</c:v>
                </c:pt>
                <c:pt idx="3">
                  <c:v>2880</c:v>
                </c:pt>
                <c:pt idx="4">
                  <c:v>3600</c:v>
                </c:pt>
                <c:pt idx="5">
                  <c:v>4320</c:v>
                </c:pt>
                <c:pt idx="6">
                  <c:v>5040</c:v>
                </c:pt>
                <c:pt idx="7">
                  <c:v>5760</c:v>
                </c:pt>
                <c:pt idx="8">
                  <c:v>6480</c:v>
                </c:pt>
                <c:pt idx="9">
                  <c:v>7200</c:v>
                </c:pt>
                <c:pt idx="10">
                  <c:v>7920</c:v>
                </c:pt>
              </c:numCache>
            </c:numRef>
          </c:xVal>
          <c:yVal>
            <c:numRef>
              <c:f>FTA_PSD!$I$11:$I$21</c:f>
              <c:numCache>
                <c:formatCode>General</c:formatCode>
                <c:ptCount val="11"/>
                <c:pt idx="0">
                  <c:v>7275.2651951320468</c:v>
                </c:pt>
                <c:pt idx="1">
                  <c:v>7464.4967657124444</c:v>
                </c:pt>
                <c:pt idx="2">
                  <c:v>7655.6511364080925</c:v>
                </c:pt>
                <c:pt idx="3">
                  <c:v>7848.3810849967722</c:v>
                </c:pt>
                <c:pt idx="4">
                  <c:v>8042.6171670340373</c:v>
                </c:pt>
                <c:pt idx="5">
                  <c:v>8238.3362343717363</c:v>
                </c:pt>
                <c:pt idx="6">
                  <c:v>8435.5283663749542</c:v>
                </c:pt>
                <c:pt idx="7">
                  <c:v>8634.1886027262299</c:v>
                </c:pt>
                <c:pt idx="8">
                  <c:v>8834.3141876936352</c:v>
                </c:pt>
                <c:pt idx="9">
                  <c:v>9035.9034678380231</c:v>
                </c:pt>
                <c:pt idx="10">
                  <c:v>9238.9553909708393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37-4722-9585-2DC94DE3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361424"/>
        <c:axId val="1"/>
      </c:scatterChart>
      <c:valAx>
        <c:axId val="80436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04361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17</xdr:row>
      <xdr:rowOff>45720</xdr:rowOff>
    </xdr:from>
    <xdr:to>
      <xdr:col>6</xdr:col>
      <xdr:colOff>76200</xdr:colOff>
      <xdr:row>30</xdr:row>
      <xdr:rowOff>60960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0</xdr:row>
          <xdr:rowOff>63500</xdr:rowOff>
        </xdr:from>
        <xdr:to>
          <xdr:col>11</xdr:col>
          <xdr:colOff>501650</xdr:colOff>
          <xdr:row>23</xdr:row>
          <xdr:rowOff>31750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6350</xdr:rowOff>
        </xdr:from>
        <xdr:to>
          <xdr:col>5</xdr:col>
          <xdr:colOff>501650</xdr:colOff>
          <xdr:row>26</xdr:row>
          <xdr:rowOff>101600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Visio_2003-2010_Drawing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selection activeCell="J21" sqref="J21"/>
    </sheetView>
  </sheetViews>
  <sheetFormatPr defaultRowHeight="12.5" x14ac:dyDescent="0.25"/>
  <cols>
    <col min="4" max="4" width="9.6328125" customWidth="1"/>
    <col min="5" max="5" width="10" customWidth="1"/>
    <col min="6" max="6" width="10.08984375" bestFit="1" customWidth="1"/>
    <col min="7" max="7" width="11.08984375" customWidth="1"/>
    <col min="8" max="8" width="9.90625" customWidth="1"/>
    <col min="9" max="9" width="10" customWidth="1"/>
  </cols>
  <sheetData>
    <row r="1" spans="1:10" x14ac:dyDescent="0.25">
      <c r="A1" s="1" t="s">
        <v>0</v>
      </c>
      <c r="B1" s="1"/>
      <c r="E1" t="s">
        <v>22</v>
      </c>
      <c r="F1" t="s">
        <v>23</v>
      </c>
      <c r="G1" t="s">
        <v>24</v>
      </c>
      <c r="H1" t="s">
        <v>25</v>
      </c>
    </row>
    <row r="2" spans="1:10" ht="15.5" x14ac:dyDescent="0.4">
      <c r="A2" s="2" t="s">
        <v>26</v>
      </c>
      <c r="B2" s="3">
        <f>0.003*8760</f>
        <v>26.28</v>
      </c>
      <c r="D2" s="9" t="s">
        <v>27</v>
      </c>
      <c r="E2" s="13">
        <f>DemandFrequency</f>
        <v>26.28</v>
      </c>
      <c r="F2" s="13">
        <f>DemandFrequency</f>
        <v>26.28</v>
      </c>
      <c r="G2" s="13">
        <f>DemandFrequency</f>
        <v>26.28</v>
      </c>
      <c r="H2" s="13">
        <f>DemandFrequency</f>
        <v>26.28</v>
      </c>
    </row>
    <row r="3" spans="1:10" ht="15.5" x14ac:dyDescent="0.4">
      <c r="A3" s="2" t="s">
        <v>3</v>
      </c>
      <c r="B3" s="3">
        <v>7.9999999999999996E-6</v>
      </c>
      <c r="D3" s="9" t="s">
        <v>14</v>
      </c>
      <c r="E3" s="13">
        <f>qPSD</f>
        <v>1.5828665200000004E-3</v>
      </c>
      <c r="F3" s="13">
        <f>qPSD</f>
        <v>1.5828665200000004E-3</v>
      </c>
      <c r="G3" s="13">
        <f>qPSD</f>
        <v>1.5828665200000004E-3</v>
      </c>
      <c r="H3" s="13">
        <f>1-qPSD</f>
        <v>0.99841713348000005</v>
      </c>
    </row>
    <row r="4" spans="1:10" ht="15" x14ac:dyDescent="0.4">
      <c r="A4" s="4" t="s">
        <v>17</v>
      </c>
      <c r="B4" s="3">
        <f>0.001</f>
        <v>1E-3</v>
      </c>
      <c r="D4" s="9" t="s">
        <v>28</v>
      </c>
      <c r="E4" s="13">
        <f>qPSV</f>
        <v>4.8300257280000005E-3</v>
      </c>
      <c r="F4" s="13">
        <f>qPSV</f>
        <v>4.8300257280000005E-3</v>
      </c>
      <c r="G4" s="13">
        <f>1-qPSV</f>
        <v>0.99516997427200005</v>
      </c>
      <c r="H4" s="13"/>
    </row>
    <row r="5" spans="1:10" ht="15.5" x14ac:dyDescent="0.4">
      <c r="A5" s="2" t="s">
        <v>18</v>
      </c>
      <c r="B5" s="8">
        <f>8760</f>
        <v>8760</v>
      </c>
      <c r="D5" s="9" t="s">
        <v>29</v>
      </c>
      <c r="E5" s="13">
        <f>qRD</f>
        <v>1E-3</v>
      </c>
      <c r="F5" s="13">
        <f>1-qRD</f>
        <v>0.999</v>
      </c>
      <c r="G5" s="13"/>
      <c r="H5" s="13"/>
    </row>
    <row r="6" spans="1:10" ht="15.5" x14ac:dyDescent="0.4">
      <c r="A6" s="2" t="s">
        <v>19</v>
      </c>
      <c r="B6" s="5">
        <v>0.1</v>
      </c>
      <c r="D6" s="9" t="s">
        <v>30</v>
      </c>
      <c r="E6" s="7">
        <f>PRODUCT(E2:E5)</f>
        <v>2.0091811648970071E-7</v>
      </c>
      <c r="F6" s="7">
        <f>PRODUCT(F2:F5)</f>
        <v>2.00717198373211E-4</v>
      </c>
      <c r="G6" s="7">
        <f>PRODUCT(G2:G5)</f>
        <v>4.1396814029110308E-2</v>
      </c>
      <c r="H6" s="7">
        <f>PRODUCT(H2:H5)</f>
        <v>26.238402267854404</v>
      </c>
      <c r="I6" s="18">
        <f>SUM(E6:H6)</f>
        <v>26.280000000000005</v>
      </c>
      <c r="J6" t="s">
        <v>54</v>
      </c>
    </row>
    <row r="7" spans="1:10" ht="15" x14ac:dyDescent="0.4">
      <c r="A7" s="4" t="s">
        <v>20</v>
      </c>
      <c r="B7" s="7">
        <f>((LambdaPSV*TauPSV*(1-BetaPSV))^2/3+LambdaPSV*TauPSV*BetaPSV/2)</f>
        <v>4.8300257280000005E-3</v>
      </c>
      <c r="D7" s="9" t="s">
        <v>31</v>
      </c>
      <c r="E7" s="10">
        <v>5</v>
      </c>
      <c r="F7" s="10">
        <v>0.2</v>
      </c>
      <c r="G7" s="10">
        <v>1E-3</v>
      </c>
      <c r="H7" s="10">
        <v>0</v>
      </c>
    </row>
    <row r="8" spans="1:10" ht="15" x14ac:dyDescent="0.4">
      <c r="A8" s="4" t="s">
        <v>21</v>
      </c>
      <c r="B8" s="7">
        <f>PFDPSD</f>
        <v>1.5828665200000004E-3</v>
      </c>
      <c r="D8" s="9" t="s">
        <v>45</v>
      </c>
      <c r="E8" s="7">
        <f>E6*E7</f>
        <v>1.0045905824485035E-6</v>
      </c>
      <c r="F8" s="7">
        <f>F6*F7</f>
        <v>4.0143439674642206E-5</v>
      </c>
      <c r="G8" s="7">
        <f>G6*G7</f>
        <v>4.1396814029110308E-5</v>
      </c>
      <c r="H8" s="7">
        <f>H6*H7</f>
        <v>0</v>
      </c>
      <c r="I8" s="18">
        <f>SUM(E8:H8)</f>
        <v>8.2544844286201025E-5</v>
      </c>
      <c r="J8" t="s">
        <v>43</v>
      </c>
    </row>
    <row r="9" spans="1:10" x14ac:dyDescent="0.25">
      <c r="I9" s="15">
        <f>I8*100000000</f>
        <v>8254.4844286201023</v>
      </c>
      <c r="J9" t="s">
        <v>44</v>
      </c>
    </row>
    <row r="10" spans="1:10" x14ac:dyDescent="0.25">
      <c r="D10" s="9" t="s">
        <v>42</v>
      </c>
      <c r="E10" s="14">
        <v>1000000000</v>
      </c>
      <c r="F10" s="14">
        <v>10000000</v>
      </c>
      <c r="G10" s="14">
        <v>1000000</v>
      </c>
      <c r="H10" s="14">
        <v>0</v>
      </c>
      <c r="I10" s="15"/>
    </row>
    <row r="11" spans="1:10" x14ac:dyDescent="0.25">
      <c r="D11" s="9" t="s">
        <v>46</v>
      </c>
      <c r="E11" s="7">
        <f>E6*E10</f>
        <v>200.91811648970071</v>
      </c>
      <c r="F11" s="7">
        <f>F6*F10</f>
        <v>2007.17198373211</v>
      </c>
      <c r="G11" s="7">
        <f>G6*G10</f>
        <v>41396.814029110312</v>
      </c>
      <c r="H11" s="7">
        <f>H6*H10</f>
        <v>0</v>
      </c>
      <c r="I11" s="15">
        <f>SUM(E11:H11)</f>
        <v>43604.904129332121</v>
      </c>
      <c r="J11" t="s">
        <v>47</v>
      </c>
    </row>
    <row r="12" spans="1:10" x14ac:dyDescent="0.25">
      <c r="I12" s="15">
        <f>PLLCost+ProdLoss</f>
        <v>51859.388557952225</v>
      </c>
      <c r="J12" t="s">
        <v>48</v>
      </c>
    </row>
    <row r="13" spans="1:10" x14ac:dyDescent="0.25">
      <c r="A13" s="19"/>
      <c r="B13" s="19"/>
    </row>
    <row r="14" spans="1:10" x14ac:dyDescent="0.25">
      <c r="A14" s="16"/>
      <c r="I14" s="18">
        <f>TotalPLL</f>
        <v>8.2544844286201025E-5</v>
      </c>
      <c r="J14" t="s">
        <v>52</v>
      </c>
    </row>
    <row r="15" spans="1:10" x14ac:dyDescent="0.25">
      <c r="A15" s="16"/>
      <c r="D15" s="16"/>
      <c r="E15" s="16"/>
    </row>
    <row r="16" spans="1:10" ht="12.75" customHeight="1" x14ac:dyDescent="0.25">
      <c r="A16" s="16"/>
      <c r="D16" s="17" t="s">
        <v>49</v>
      </c>
      <c r="E16" s="17" t="s">
        <v>51</v>
      </c>
    </row>
    <row r="17" spans="1:9" ht="15" customHeight="1" x14ac:dyDescent="0.4">
      <c r="A17" s="16"/>
      <c r="D17" s="2" t="s">
        <v>3</v>
      </c>
      <c r="E17">
        <f>TotCostCell</f>
        <v>8.2544844286201025E-5</v>
      </c>
      <c r="H17" s="17" t="s">
        <v>49</v>
      </c>
      <c r="I17" s="17" t="s">
        <v>53</v>
      </c>
    </row>
    <row r="18" spans="1:9" ht="15.5" x14ac:dyDescent="0.4">
      <c r="D18">
        <v>0</v>
      </c>
      <c r="E18">
        <f t="dataTable" ref="E18" dt2D="0" dtr="0" r1="B3" ca="1"/>
        <v>4.1597732145600008E-5</v>
      </c>
      <c r="H18" s="2" t="s">
        <v>3</v>
      </c>
      <c r="I18" s="7">
        <f>E19</f>
        <v>4.0947112140601017E-5</v>
      </c>
    </row>
    <row r="19" spans="1:9" ht="15.5" x14ac:dyDescent="0.4">
      <c r="D19" t="s">
        <v>50</v>
      </c>
      <c r="E19" s="7">
        <f>E17-E18</f>
        <v>4.0947112140601017E-5</v>
      </c>
      <c r="H19" s="2" t="s">
        <v>3</v>
      </c>
      <c r="I19" s="7">
        <f>E23</f>
        <v>9.6440695915056855E-7</v>
      </c>
    </row>
    <row r="20" spans="1:9" ht="15.5" x14ac:dyDescent="0.4">
      <c r="H20" s="2" t="s">
        <v>1</v>
      </c>
      <c r="I20" s="7">
        <f>FTA_PSD!G6</f>
        <v>1.169074300249497E-5</v>
      </c>
    </row>
    <row r="21" spans="1:9" ht="15.5" x14ac:dyDescent="0.4">
      <c r="D21" s="2" t="s">
        <v>3</v>
      </c>
      <c r="E21">
        <f>TotCostCell</f>
        <v>8.2544844286201025E-5</v>
      </c>
      <c r="H21" s="2" t="s">
        <v>4</v>
      </c>
      <c r="I21" s="7">
        <f>FTA_PSD!G10</f>
        <v>6.5639205192139158E-5</v>
      </c>
    </row>
    <row r="22" spans="1:9" ht="15" x14ac:dyDescent="0.4">
      <c r="D22">
        <v>0</v>
      </c>
      <c r="E22">
        <f t="dataTable" ref="E22" dt2D="0" dtr="0" r1="B4" ca="1"/>
        <v>8.1580437327050456E-5</v>
      </c>
      <c r="H22" s="4" t="s">
        <v>6</v>
      </c>
      <c r="I22" s="7">
        <f>FTA_PSD!G14</f>
        <v>5.21489609156691E-6</v>
      </c>
    </row>
    <row r="23" spans="1:9" x14ac:dyDescent="0.25">
      <c r="D23" t="s">
        <v>50</v>
      </c>
      <c r="E23" s="7">
        <f>E21-E22</f>
        <v>9.6440695915056855E-7</v>
      </c>
    </row>
  </sheetData>
  <mergeCells count="1">
    <mergeCell ref="A13:B13"/>
  </mergeCells>
  <phoneticPr fontId="7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workbookViewId="0">
      <selection activeCell="F16" sqref="F16"/>
    </sheetView>
  </sheetViews>
  <sheetFormatPr defaultRowHeight="12.5" x14ac:dyDescent="0.25"/>
  <cols>
    <col min="2" max="2" width="12.453125" bestFit="1" customWidth="1"/>
    <col min="3" max="3" width="37.6328125" customWidth="1"/>
    <col min="7" max="7" width="12.453125" bestFit="1" customWidth="1"/>
  </cols>
  <sheetData>
    <row r="1" spans="1:9" x14ac:dyDescent="0.25">
      <c r="A1" s="1" t="s">
        <v>0</v>
      </c>
      <c r="B1" s="1"/>
      <c r="C1" s="1" t="s">
        <v>34</v>
      </c>
    </row>
    <row r="2" spans="1:9" ht="15.5" x14ac:dyDescent="0.4">
      <c r="A2" s="2" t="s">
        <v>1</v>
      </c>
      <c r="B2" s="3">
        <v>9.9999999999999995E-7</v>
      </c>
      <c r="C2" t="s">
        <v>38</v>
      </c>
    </row>
    <row r="3" spans="1:9" ht="15.5" x14ac:dyDescent="0.4">
      <c r="A3" s="2" t="s">
        <v>4</v>
      </c>
      <c r="B3" s="3">
        <v>5.0000000000000004E-6</v>
      </c>
      <c r="C3" t="s">
        <v>40</v>
      </c>
      <c r="F3" t="s">
        <v>49</v>
      </c>
    </row>
    <row r="4" spans="1:9" ht="15.5" x14ac:dyDescent="0.4">
      <c r="A4" s="4" t="s">
        <v>6</v>
      </c>
      <c r="B4" s="3">
        <f>0.0001</f>
        <v>1E-4</v>
      </c>
      <c r="C4" t="s">
        <v>35</v>
      </c>
      <c r="F4" s="2" t="s">
        <v>1</v>
      </c>
      <c r="G4">
        <f>TotCostCell</f>
        <v>8.2544844286201025E-5</v>
      </c>
    </row>
    <row r="5" spans="1:9" ht="15.5" x14ac:dyDescent="0.4">
      <c r="A5" s="2" t="s">
        <v>2</v>
      </c>
      <c r="B5" s="8">
        <f>8760/2</f>
        <v>4380</v>
      </c>
      <c r="C5" t="s">
        <v>36</v>
      </c>
      <c r="F5">
        <v>0</v>
      </c>
      <c r="G5">
        <f t="dataTable" ref="G5" dt2D="0" dtr="0" r1="B2"/>
        <v>7.0854101283706055E-5</v>
      </c>
    </row>
    <row r="6" spans="1:9" ht="15.5" x14ac:dyDescent="0.4">
      <c r="A6" s="2" t="s">
        <v>5</v>
      </c>
      <c r="B6" s="8">
        <v>8760</v>
      </c>
      <c r="C6" t="s">
        <v>37</v>
      </c>
      <c r="F6" t="s">
        <v>50</v>
      </c>
      <c r="G6" s="7">
        <f>G4-G5</f>
        <v>1.169074300249497E-5</v>
      </c>
    </row>
    <row r="7" spans="1:9" ht="15.5" x14ac:dyDescent="0.4">
      <c r="A7" s="2" t="s">
        <v>7</v>
      </c>
      <c r="B7" s="5">
        <v>0.1</v>
      </c>
      <c r="C7" s="12" t="s">
        <v>41</v>
      </c>
    </row>
    <row r="8" spans="1:9" ht="15.5" x14ac:dyDescent="0.4">
      <c r="A8" s="2" t="s">
        <v>8</v>
      </c>
      <c r="B8" s="5">
        <v>0.03</v>
      </c>
      <c r="C8" s="12" t="s">
        <v>39</v>
      </c>
      <c r="F8" s="2" t="s">
        <v>4</v>
      </c>
      <c r="G8">
        <f>TotCostCell</f>
        <v>8.2544844286201025E-5</v>
      </c>
    </row>
    <row r="9" spans="1:9" x14ac:dyDescent="0.25">
      <c r="A9" s="6" t="s">
        <v>32</v>
      </c>
      <c r="B9" s="8">
        <v>1000</v>
      </c>
      <c r="F9">
        <v>0</v>
      </c>
      <c r="G9">
        <f t="dataTable" ref="G9" dt2D="0" dtr="0" r1="B3" ca="1"/>
        <v>1.6905639094061867E-5</v>
      </c>
    </row>
    <row r="10" spans="1:9" x14ac:dyDescent="0.25">
      <c r="A10" s="6" t="s">
        <v>33</v>
      </c>
      <c r="B10" s="11">
        <f>B9/TauPSW+PLLCost</f>
        <v>8254.7127391223858</v>
      </c>
      <c r="F10" t="s">
        <v>50</v>
      </c>
      <c r="G10" s="7">
        <f>G8-G9</f>
        <v>6.5639205192139158E-5</v>
      </c>
      <c r="I10">
        <f>B10</f>
        <v>8254.7127391223858</v>
      </c>
    </row>
    <row r="11" spans="1:9" x14ac:dyDescent="0.25">
      <c r="H11">
        <v>720</v>
      </c>
      <c r="I11">
        <f t="dataTable" ref="I11:I21" dt2D="0" dtr="0" r1="B5" ca="1"/>
        <v>7275.2651951320468</v>
      </c>
    </row>
    <row r="12" spans="1:9" ht="15" x14ac:dyDescent="0.4">
      <c r="A12" s="1" t="s">
        <v>9</v>
      </c>
      <c r="B12" s="1" t="s">
        <v>10</v>
      </c>
      <c r="C12" s="1" t="s">
        <v>11</v>
      </c>
      <c r="D12" s="1" t="s">
        <v>15</v>
      </c>
      <c r="F12" s="4" t="s">
        <v>6</v>
      </c>
      <c r="G12">
        <f>TotCostCell</f>
        <v>8.2544844286201025E-5</v>
      </c>
      <c r="H12">
        <f>H11+720</f>
        <v>1440</v>
      </c>
      <c r="I12">
        <v>7464.4967657124444</v>
      </c>
    </row>
    <row r="13" spans="1:9" x14ac:dyDescent="0.25">
      <c r="A13" s="6" t="s">
        <v>12</v>
      </c>
      <c r="B13" s="7">
        <f>(LambdaPSW*(1-BetaPSW)*TauPSW)^2/3</f>
        <v>5.1797880000000005E-6</v>
      </c>
      <c r="C13" s="7">
        <f>LambdaPSW*TauPSW*BetaPSW/2</f>
        <v>2.1900000000000001E-4</v>
      </c>
      <c r="D13" s="7">
        <f>B13+C13</f>
        <v>2.2417978800000002E-4</v>
      </c>
      <c r="F13">
        <v>0</v>
      </c>
      <c r="G13">
        <f t="dataTable" ref="G13" dt2D="0" dtr="0" r1="B4" ca="1"/>
        <v>7.7329948194634115E-5</v>
      </c>
      <c r="H13">
        <f t="shared" ref="H13:H21" si="0">H12+720</f>
        <v>2160</v>
      </c>
      <c r="I13">
        <v>7655.6511364080925</v>
      </c>
    </row>
    <row r="14" spans="1:9" x14ac:dyDescent="0.25">
      <c r="A14" s="6" t="s">
        <v>13</v>
      </c>
      <c r="B14" s="7">
        <f>qLU</f>
        <v>1E-4</v>
      </c>
      <c r="C14" s="7"/>
      <c r="D14" s="7">
        <f>B14+C14</f>
        <v>1E-4</v>
      </c>
      <c r="F14" t="s">
        <v>50</v>
      </c>
      <c r="G14" s="7">
        <f>G12-G13</f>
        <v>5.21489609156691E-6</v>
      </c>
      <c r="H14">
        <f t="shared" si="0"/>
        <v>2880</v>
      </c>
      <c r="I14">
        <v>7848.3810849967722</v>
      </c>
    </row>
    <row r="15" spans="1:9" x14ac:dyDescent="0.25">
      <c r="A15" s="6" t="s">
        <v>14</v>
      </c>
      <c r="B15" s="7">
        <f>(LambdaPSD*(1-BetaPSD)*TauPSD)^2/3</f>
        <v>6.0168673200000015E-4</v>
      </c>
      <c r="C15" s="7">
        <f>LambdaPSD*TauPSD*BetaPSD/2</f>
        <v>6.5700000000000003E-4</v>
      </c>
      <c r="D15" s="7">
        <f>B15+C15</f>
        <v>1.2586867320000003E-3</v>
      </c>
      <c r="H15">
        <f t="shared" si="0"/>
        <v>3600</v>
      </c>
      <c r="I15">
        <v>8042.6171670340373</v>
      </c>
    </row>
    <row r="16" spans="1:9" x14ac:dyDescent="0.25">
      <c r="A16" s="6" t="s">
        <v>16</v>
      </c>
      <c r="D16" s="7">
        <f>SUM(D13:D15)</f>
        <v>1.5828665200000004E-3</v>
      </c>
      <c r="H16">
        <f t="shared" si="0"/>
        <v>4320</v>
      </c>
      <c r="I16">
        <v>8238.3362343717363</v>
      </c>
    </row>
    <row r="17" spans="8:9" x14ac:dyDescent="0.25">
      <c r="H17">
        <f t="shared" si="0"/>
        <v>5040</v>
      </c>
      <c r="I17">
        <v>8435.5283663749542</v>
      </c>
    </row>
    <row r="18" spans="8:9" x14ac:dyDescent="0.25">
      <c r="H18">
        <f t="shared" si="0"/>
        <v>5760</v>
      </c>
      <c r="I18">
        <v>8634.1886027262299</v>
      </c>
    </row>
    <row r="19" spans="8:9" x14ac:dyDescent="0.25">
      <c r="H19">
        <f t="shared" si="0"/>
        <v>6480</v>
      </c>
      <c r="I19">
        <v>8834.3141876936352</v>
      </c>
    </row>
    <row r="20" spans="8:9" x14ac:dyDescent="0.25">
      <c r="H20">
        <f t="shared" si="0"/>
        <v>7200</v>
      </c>
      <c r="I20">
        <v>9035.9034678380231</v>
      </c>
    </row>
    <row r="21" spans="8:9" x14ac:dyDescent="0.25">
      <c r="H21">
        <f t="shared" si="0"/>
        <v>7920</v>
      </c>
      <c r="I21">
        <v>9238.9553909708393</v>
      </c>
    </row>
  </sheetData>
  <phoneticPr fontId="7" type="noConversion"/>
  <pageMargins left="0.75" right="0.75" top="1" bottom="1" header="0.5" footer="0.5"/>
  <pageSetup paperSize="9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5" zoomScaleNormal="85" workbookViewId="0">
      <selection activeCell="O17" sqref="O17"/>
    </sheetView>
  </sheetViews>
  <sheetFormatPr defaultRowHeight="12.5" x14ac:dyDescent="0.2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073" r:id="rId4">
          <objectPr defaultSize="0" r:id="rId5">
            <anchor moveWithCells="1">
              <from>
                <xdr:col>0</xdr:col>
                <xdr:colOff>146050</xdr:colOff>
                <xdr:row>0</xdr:row>
                <xdr:rowOff>63500</xdr:rowOff>
              </from>
              <to>
                <xdr:col>11</xdr:col>
                <xdr:colOff>501650</xdr:colOff>
                <xdr:row>23</xdr:row>
                <xdr:rowOff>31750</xdr:rowOff>
              </to>
            </anchor>
          </objectPr>
        </oleObject>
      </mc:Choice>
      <mc:Fallback>
        <oleObject progId="Visio.Drawing.11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17" sqref="C17"/>
    </sheetView>
  </sheetViews>
  <sheetFormatPr defaultRowHeight="12.5" x14ac:dyDescent="0.2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r:id="rId5">
            <anchor moveWithCells="1">
              <from>
                <xdr:col>0</xdr:col>
                <xdr:colOff>38100</xdr:colOff>
                <xdr:row>0</xdr:row>
                <xdr:rowOff>6350</xdr:rowOff>
              </from>
              <to>
                <xdr:col>5</xdr:col>
                <xdr:colOff>501650</xdr:colOff>
                <xdr:row>26</xdr:row>
                <xdr:rowOff>101600</xdr:rowOff>
              </to>
            </anchor>
          </objectPr>
        </oleObject>
      </mc:Choice>
      <mc:Fallback>
        <oleObject progId="Visio.Drawing.11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ETA</vt:lpstr>
      <vt:lpstr>FTA_PSD</vt:lpstr>
      <vt:lpstr>ETADiagram</vt:lpstr>
      <vt:lpstr>FTADiagram_PSD</vt:lpstr>
      <vt:lpstr>BetaPSD</vt:lpstr>
      <vt:lpstr>BetaPSV</vt:lpstr>
      <vt:lpstr>BetaPSW</vt:lpstr>
      <vt:lpstr>DemandFrequency</vt:lpstr>
      <vt:lpstr>LambdaPSD</vt:lpstr>
      <vt:lpstr>LambdaPSV</vt:lpstr>
      <vt:lpstr>LambdaPSW</vt:lpstr>
      <vt:lpstr>PFDPSD</vt:lpstr>
      <vt:lpstr>PLLCost</vt:lpstr>
      <vt:lpstr>ProdLoss</vt:lpstr>
      <vt:lpstr>PSF</vt:lpstr>
      <vt:lpstr>PSF0</vt:lpstr>
      <vt:lpstr>qLU</vt:lpstr>
      <vt:lpstr>qPSD</vt:lpstr>
      <vt:lpstr>qPSV</vt:lpstr>
      <vt:lpstr>qRD</vt:lpstr>
      <vt:lpstr>TauPSD</vt:lpstr>
      <vt:lpstr>TauPSV</vt:lpstr>
      <vt:lpstr>TauPSW</vt:lpstr>
      <vt:lpstr>TotalPLL</vt:lpstr>
      <vt:lpstr>TotCostCell</vt:lpstr>
      <vt:lpstr>TotPSF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1996-10-14T23:33:28Z</dcterms:created>
  <dcterms:modified xsi:type="dcterms:W3CDTF">2023-01-18T07:00:53Z</dcterms:modified>
</cp:coreProperties>
</file>